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N:\04 Bemessungen\00_Bemessungsvorlagen\WabaFix\"/>
    </mc:Choice>
  </mc:AlternateContent>
  <xr:revisionPtr revIDLastSave="0" documentId="13_ncr:1_{056F3448-4019-4459-9B57-9A3E1380E4B7}" xr6:coauthVersionLast="47" xr6:coauthVersionMax="47" xr10:uidLastSave="{00000000-0000-0000-0000-000000000000}"/>
  <workbookProtection workbookAlgorithmName="SHA-512" workbookHashValue="ZkFn90Lw2bRwR6aenhGQ0KQw0AsHZsrZRGWql5sn6KeYL+kXoDyW8GoZPL3KU7mHAF2ZaOADeIJ5kc0P0Ngo+A==" workbookSaltValue="JnMj5Mm9OrhqGSnkVIJW4w==" workbookSpinCount="100000" lockStructure="1"/>
  <bookViews>
    <workbookView xWindow="-120" yWindow="-120" windowWidth="29040" windowHeight="17640" xr2:uid="{A87030A7-99F0-4B77-A30C-27141B01CFB2}"/>
  </bookViews>
  <sheets>
    <sheet name="Tabelle1" sheetId="1" r:id="rId1"/>
  </sheets>
  <definedNames>
    <definedName name="_xlnm.Print_Area" localSheetId="0">Tabelle1!$B$1:$J$297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" i="1" l="1"/>
  <c r="F32" i="1"/>
  <c r="F31" i="1"/>
  <c r="F60" i="1"/>
  <c r="F22" i="1" s="1"/>
  <c r="F112" i="1" l="1"/>
  <c r="F111" i="1"/>
  <c r="F71" i="1"/>
  <c r="F83" i="1"/>
  <c r="F84" i="1" s="1"/>
  <c r="F87" i="1" s="1"/>
  <c r="F25" i="1"/>
  <c r="F77" i="1"/>
  <c r="F76" i="1"/>
  <c r="F75" i="1"/>
  <c r="F74" i="1"/>
  <c r="F57" i="1"/>
  <c r="F19" i="1"/>
  <c r="F38" i="1" l="1"/>
  <c r="F41" i="1" s="1"/>
  <c r="F291" i="1" s="1"/>
  <c r="F37" i="1"/>
  <c r="F40" i="1" s="1"/>
  <c r="F78" i="1"/>
  <c r="F94" i="1"/>
  <c r="F92" i="1"/>
  <c r="F93" i="1"/>
  <c r="F88" i="1"/>
  <c r="F89" i="1"/>
  <c r="F90" i="1"/>
  <c r="F91" i="1"/>
  <c r="F283" i="1" l="1"/>
  <c r="F136" i="1"/>
  <c r="F137" i="1" s="1"/>
  <c r="F258" i="1"/>
  <c r="F264" i="1"/>
  <c r="F205" i="1"/>
  <c r="F206" i="1" s="1"/>
  <c r="F193" i="1"/>
  <c r="F194" i="1" s="1"/>
  <c r="F144" i="1"/>
  <c r="F98" i="1" s="1"/>
  <c r="F95" i="1"/>
  <c r="F173" i="1" l="1"/>
  <c r="F174" i="1" s="1"/>
  <c r="F163" i="1"/>
  <c r="F164" i="1" s="1"/>
  <c r="F238" i="1"/>
  <c r="F239" i="1" s="1"/>
  <c r="F227" i="1"/>
  <c r="F228" i="1" s="1"/>
  <c r="F296" i="1"/>
  <c r="F269" i="1"/>
  <c r="F212" i="1"/>
  <c r="F145" i="1"/>
  <c r="F151" i="1" s="1"/>
  <c r="F245" i="1" l="1"/>
  <c r="F180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<sst xmlns="http://schemas.openxmlformats.org/spreadsheetml/2006/main" count="253" uniqueCount="158">
  <si>
    <t xml:space="preserve">Rechenmodell WabaFix </t>
  </si>
  <si>
    <t>ftens,k Ø8mm S+</t>
  </si>
  <si>
    <t>f,ax,k Ø8mm S+</t>
  </si>
  <si>
    <t>Rohdichte HT</t>
  </si>
  <si>
    <t>Rohdichte NT</t>
  </si>
  <si>
    <t>Typ WabaFix</t>
  </si>
  <si>
    <t>Anzahl der Schrauben im HT und NT</t>
  </si>
  <si>
    <t>a</t>
  </si>
  <si>
    <t>b</t>
  </si>
  <si>
    <t>c</t>
  </si>
  <si>
    <t>Fe,max 1 Stk WF</t>
  </si>
  <si>
    <t>Fe,max Verbinderpaar</t>
  </si>
  <si>
    <t>Mitte der Druckzohne</t>
  </si>
  <si>
    <t>n</t>
  </si>
  <si>
    <t>ε</t>
  </si>
  <si>
    <t>∑(z²i / z²1)</t>
  </si>
  <si>
    <t>Fe,max WF</t>
  </si>
  <si>
    <t>Eingabe</t>
  </si>
  <si>
    <t>Breite</t>
  </si>
  <si>
    <t>Höhe</t>
  </si>
  <si>
    <t>Dimensionen</t>
  </si>
  <si>
    <t>Hauptträger</t>
  </si>
  <si>
    <t>Nebenträger</t>
  </si>
  <si>
    <t>mm</t>
  </si>
  <si>
    <t>kg/m³</t>
  </si>
  <si>
    <t>°</t>
  </si>
  <si>
    <t>Schraube</t>
  </si>
  <si>
    <t>α</t>
  </si>
  <si>
    <t>Winkel zur Faser Hauptträger</t>
  </si>
  <si>
    <t>Winkel zur Faser Nebenträger</t>
  </si>
  <si>
    <t>Schraube auf der Hauptträgerseite</t>
  </si>
  <si>
    <t>Schraube auf der Nebenträgerseite</t>
  </si>
  <si>
    <t xml:space="preserve">GoFix S+ 8 x </t>
  </si>
  <si>
    <t>gem.ETA-11/0425</t>
  </si>
  <si>
    <t>gem.ETA-11/0426</t>
  </si>
  <si>
    <t>charakteristisches Fließmoment</t>
  </si>
  <si>
    <t>Lochleibungsfestigkeit im Hauptträger</t>
  </si>
  <si>
    <t>kN</t>
  </si>
  <si>
    <t>N/mm²</t>
  </si>
  <si>
    <t>Nmm</t>
  </si>
  <si>
    <t>N</t>
  </si>
  <si>
    <t>Lateraler Widerstand im Hauptträger</t>
  </si>
  <si>
    <t>Ausziehwiderstand im Hauptträger</t>
  </si>
  <si>
    <t>Ausziehwiderstand im Nebenträger</t>
  </si>
  <si>
    <t>Lateraler Widerstand im Nebenträger</t>
  </si>
  <si>
    <t>WF</t>
  </si>
  <si>
    <t>Verbinder</t>
  </si>
  <si>
    <t>Winkel Schraubenachse zu Faser</t>
  </si>
  <si>
    <t xml:space="preserve">α </t>
  </si>
  <si>
    <t>Neigung Nebenträger zur Horizontalen</t>
  </si>
  <si>
    <t xml:space="preserve">β </t>
  </si>
  <si>
    <t xml:space="preserve">e </t>
  </si>
  <si>
    <t>gem. EN 14080: 2013 / EN 15497: 2014</t>
  </si>
  <si>
    <t>gem. EN 14080: 2013 / EN 15497: 2015</t>
  </si>
  <si>
    <t>Abstand Mitte Hauptträger Mitte Verbinder wichtig bei verdrehweicher Lagerung des Hauptträgers</t>
  </si>
  <si>
    <t>x</t>
  </si>
  <si>
    <t>Höhe der Druckzohne bei verdrehweich gelagertem Hauptträger</t>
  </si>
  <si>
    <t>x/2</t>
  </si>
  <si>
    <t>Randbedingungen für die Modellbildung</t>
  </si>
  <si>
    <t>Abstände der Schrauben zum Drehpunkt verdrehsteif gelagerter Hauptträger</t>
  </si>
  <si>
    <t>gem. GU22-492-1-01 (Abb.5)</t>
  </si>
  <si>
    <t>gem. GU22-492-1-01 (Abb.8)</t>
  </si>
  <si>
    <t>Abstände der Schrauben zum Drehpunkt verdrehweich gelagerter Hauptträger</t>
  </si>
  <si>
    <t>gem. GU22-492-1-01 (Abb.9)</t>
  </si>
  <si>
    <t>gem. GU22-492-1-01 (Abb.14)</t>
  </si>
  <si>
    <t>gem. GU22-492-1-01 (Gl.14)</t>
  </si>
  <si>
    <t>gem. GU22-492-1-01 (Gl.17)</t>
  </si>
  <si>
    <t>gem. GU22-492-1-01 (Gl.23)</t>
  </si>
  <si>
    <t>gem. GU22-492-1-01 (Gl.26)</t>
  </si>
  <si>
    <t>gem. GU22-492-1-01 (Gl.27)</t>
  </si>
  <si>
    <t>gem. GU22-492-1-01 (Gl.29)</t>
  </si>
  <si>
    <t>gem. GU22-492-1-01 (Gl.30)</t>
  </si>
  <si>
    <t>gem. GU22-492-1-01 (Gl.28)</t>
  </si>
  <si>
    <t>gem. GU22-492-1-01 (Gl.34)</t>
  </si>
  <si>
    <t>gem. GU22-492-1-01 (Gl.35)</t>
  </si>
  <si>
    <t>gem. GU22-492-1-01 (Gl.36)</t>
  </si>
  <si>
    <t>Das Rechenmodell bezieht sich auf die Gutachterliche Stellungnahme der TU-Graz Nr.: GU22-492-1-01 vom 25.03.2024</t>
  </si>
  <si>
    <t>Holzgüte</t>
  </si>
  <si>
    <t>gem. Theorien nach Johansen; dickes Stahlblech</t>
  </si>
  <si>
    <r>
      <t>z</t>
    </r>
    <r>
      <rPr>
        <vertAlign val="subscript"/>
        <sz val="14"/>
        <color theme="1"/>
        <rFont val="Arial"/>
        <family val="2"/>
      </rPr>
      <t>HT</t>
    </r>
  </si>
  <si>
    <r>
      <t>z</t>
    </r>
    <r>
      <rPr>
        <vertAlign val="subscript"/>
        <sz val="14"/>
        <color theme="1"/>
        <rFont val="Arial"/>
        <family val="2"/>
      </rPr>
      <t>NT</t>
    </r>
  </si>
  <si>
    <r>
      <t>z</t>
    </r>
    <r>
      <rPr>
        <vertAlign val="subscript"/>
        <sz val="14"/>
        <color theme="1"/>
        <rFont val="Arial"/>
        <family val="2"/>
      </rPr>
      <t>1</t>
    </r>
  </si>
  <si>
    <r>
      <t>z</t>
    </r>
    <r>
      <rPr>
        <vertAlign val="subscript"/>
        <sz val="14"/>
        <color theme="1"/>
        <rFont val="Arial"/>
        <family val="2"/>
      </rPr>
      <t>2</t>
    </r>
    <r>
      <rPr>
        <sz val="11"/>
        <color theme="1"/>
        <rFont val="Aptos Narrow"/>
        <family val="2"/>
        <scheme val="minor"/>
      </rPr>
      <t/>
    </r>
  </si>
  <si>
    <r>
      <t>z</t>
    </r>
    <r>
      <rPr>
        <vertAlign val="subscript"/>
        <sz val="14"/>
        <color theme="1"/>
        <rFont val="Arial"/>
        <family val="2"/>
      </rPr>
      <t>3</t>
    </r>
    <r>
      <rPr>
        <sz val="11"/>
        <color theme="1"/>
        <rFont val="Aptos Narrow"/>
        <family val="2"/>
        <scheme val="minor"/>
      </rPr>
      <t/>
    </r>
  </si>
  <si>
    <r>
      <t>z</t>
    </r>
    <r>
      <rPr>
        <vertAlign val="subscript"/>
        <sz val="14"/>
        <color theme="1"/>
        <rFont val="Arial"/>
        <family val="2"/>
      </rPr>
      <t>4</t>
    </r>
    <r>
      <rPr>
        <sz val="11"/>
        <color theme="1"/>
        <rFont val="Aptos Narrow"/>
        <family val="2"/>
        <scheme val="minor"/>
      </rPr>
      <t/>
    </r>
  </si>
  <si>
    <r>
      <t>z</t>
    </r>
    <r>
      <rPr>
        <vertAlign val="subscript"/>
        <sz val="14"/>
        <color theme="1"/>
        <rFont val="Arial"/>
        <family val="2"/>
      </rPr>
      <t>1,e</t>
    </r>
  </si>
  <si>
    <r>
      <t>z</t>
    </r>
    <r>
      <rPr>
        <vertAlign val="subscript"/>
        <sz val="14"/>
        <color theme="1"/>
        <rFont val="Arial"/>
        <family val="2"/>
      </rPr>
      <t>2,e</t>
    </r>
  </si>
  <si>
    <r>
      <t>z</t>
    </r>
    <r>
      <rPr>
        <vertAlign val="subscript"/>
        <sz val="14"/>
        <color theme="1"/>
        <rFont val="Arial"/>
        <family val="2"/>
      </rPr>
      <t>3,e</t>
    </r>
  </si>
  <si>
    <r>
      <t>z</t>
    </r>
    <r>
      <rPr>
        <vertAlign val="subscript"/>
        <sz val="14"/>
        <color theme="1"/>
        <rFont val="Arial"/>
        <family val="2"/>
      </rPr>
      <t>4,e</t>
    </r>
  </si>
  <si>
    <r>
      <t>z</t>
    </r>
    <r>
      <rPr>
        <vertAlign val="subscript"/>
        <sz val="14"/>
        <color theme="1"/>
        <rFont val="Arial"/>
        <family val="2"/>
      </rPr>
      <t>5,e</t>
    </r>
  </si>
  <si>
    <r>
      <t>z</t>
    </r>
    <r>
      <rPr>
        <vertAlign val="subscript"/>
        <sz val="14"/>
        <color theme="1"/>
        <rFont val="Arial"/>
        <family val="2"/>
      </rPr>
      <t>6,e</t>
    </r>
  </si>
  <si>
    <r>
      <t>z</t>
    </r>
    <r>
      <rPr>
        <vertAlign val="subscript"/>
        <sz val="14"/>
        <color theme="1"/>
        <rFont val="Arial"/>
        <family val="2"/>
      </rPr>
      <t>7,e</t>
    </r>
  </si>
  <si>
    <r>
      <t>z</t>
    </r>
    <r>
      <rPr>
        <vertAlign val="subscript"/>
        <sz val="14"/>
        <color theme="1"/>
        <rFont val="Arial"/>
        <family val="2"/>
      </rPr>
      <t>8,e</t>
    </r>
  </si>
  <si>
    <r>
      <t>∑(z²</t>
    </r>
    <r>
      <rPr>
        <vertAlign val="subscript"/>
        <sz val="14"/>
        <color theme="1"/>
        <rFont val="Arial"/>
        <family val="2"/>
      </rPr>
      <t xml:space="preserve">i,e </t>
    </r>
    <r>
      <rPr>
        <sz val="14"/>
        <color theme="1"/>
        <rFont val="Arial"/>
        <family val="2"/>
      </rPr>
      <t>/ z²</t>
    </r>
    <r>
      <rPr>
        <vertAlign val="subscript"/>
        <sz val="14"/>
        <color theme="1"/>
        <rFont val="Arial"/>
        <family val="2"/>
      </rPr>
      <t>1,e</t>
    </r>
    <r>
      <rPr>
        <sz val="14"/>
        <color theme="1"/>
        <rFont val="Arial"/>
        <family val="2"/>
      </rPr>
      <t>)</t>
    </r>
  </si>
  <si>
    <r>
      <rPr>
        <sz val="14"/>
        <color theme="1"/>
        <rFont val="Aptos Narrow"/>
        <family val="2"/>
      </rPr>
      <t>ρ</t>
    </r>
    <r>
      <rPr>
        <vertAlign val="subscript"/>
        <sz val="14"/>
        <color theme="1"/>
        <rFont val="Arial"/>
        <family val="2"/>
      </rPr>
      <t>k</t>
    </r>
    <r>
      <rPr>
        <sz val="14"/>
        <color theme="1"/>
        <rFont val="Arial"/>
        <family val="2"/>
      </rPr>
      <t xml:space="preserve">  </t>
    </r>
  </si>
  <si>
    <r>
      <t>b</t>
    </r>
    <r>
      <rPr>
        <vertAlign val="subscript"/>
        <sz val="14"/>
        <color theme="1"/>
        <rFont val="Arial"/>
        <family val="2"/>
      </rPr>
      <t>HT</t>
    </r>
    <r>
      <rPr>
        <sz val="14"/>
        <color theme="1"/>
        <rFont val="Arial"/>
        <family val="2"/>
      </rPr>
      <t xml:space="preserve"> </t>
    </r>
  </si>
  <si>
    <r>
      <t>h</t>
    </r>
    <r>
      <rPr>
        <vertAlign val="subscript"/>
        <sz val="14"/>
        <color theme="1"/>
        <rFont val="Arial"/>
        <family val="2"/>
      </rPr>
      <t>HT</t>
    </r>
    <r>
      <rPr>
        <sz val="14"/>
        <color theme="1"/>
        <rFont val="Arial"/>
        <family val="2"/>
      </rPr>
      <t xml:space="preserve"> </t>
    </r>
  </si>
  <si>
    <r>
      <t>b</t>
    </r>
    <r>
      <rPr>
        <vertAlign val="subscript"/>
        <sz val="14"/>
        <color theme="1"/>
        <rFont val="Arial"/>
        <family val="2"/>
      </rPr>
      <t>NT</t>
    </r>
    <r>
      <rPr>
        <sz val="14"/>
        <color theme="1"/>
        <rFont val="Arial"/>
        <family val="2"/>
      </rPr>
      <t xml:space="preserve"> </t>
    </r>
  </si>
  <si>
    <r>
      <t>h</t>
    </r>
    <r>
      <rPr>
        <vertAlign val="subscript"/>
        <sz val="14"/>
        <color theme="1"/>
        <rFont val="Arial"/>
        <family val="2"/>
      </rPr>
      <t>NT</t>
    </r>
    <r>
      <rPr>
        <sz val="14"/>
        <color theme="1"/>
        <rFont val="Arial"/>
        <family val="2"/>
      </rPr>
      <t xml:space="preserve"> </t>
    </r>
  </si>
  <si>
    <r>
      <t>k</t>
    </r>
    <r>
      <rPr>
        <vertAlign val="subscript"/>
        <sz val="14"/>
        <color theme="1"/>
        <rFont val="Arial"/>
        <family val="2"/>
      </rPr>
      <t>ax</t>
    </r>
  </si>
  <si>
    <r>
      <t>l</t>
    </r>
    <r>
      <rPr>
        <vertAlign val="subscript"/>
        <sz val="14"/>
        <color theme="1"/>
        <rFont val="Arial"/>
        <family val="2"/>
      </rPr>
      <t>ef</t>
    </r>
  </si>
  <si>
    <r>
      <t>f</t>
    </r>
    <r>
      <rPr>
        <vertAlign val="subscript"/>
        <sz val="14"/>
        <color theme="1"/>
        <rFont val="Arial"/>
        <family val="2"/>
      </rPr>
      <t>h,k,HT</t>
    </r>
  </si>
  <si>
    <r>
      <t>f</t>
    </r>
    <r>
      <rPr>
        <vertAlign val="subscript"/>
        <sz val="14"/>
        <color theme="1"/>
        <rFont val="Arial"/>
        <family val="2"/>
      </rPr>
      <t>h,k,NT</t>
    </r>
  </si>
  <si>
    <r>
      <t>M</t>
    </r>
    <r>
      <rPr>
        <vertAlign val="subscript"/>
        <sz val="14"/>
        <color theme="1"/>
        <rFont val="Arial"/>
        <family val="2"/>
      </rPr>
      <t>y,k</t>
    </r>
  </si>
  <si>
    <r>
      <t>F</t>
    </r>
    <r>
      <rPr>
        <vertAlign val="subscript"/>
        <sz val="14"/>
        <color theme="1"/>
        <rFont val="Aptos Display"/>
        <family val="2"/>
      </rPr>
      <t>ax,α,k</t>
    </r>
    <r>
      <rPr>
        <vertAlign val="subscript"/>
        <sz val="14"/>
        <color theme="1"/>
        <rFont val="Arial"/>
        <family val="2"/>
      </rPr>
      <t>,HT</t>
    </r>
  </si>
  <si>
    <r>
      <t>l</t>
    </r>
    <r>
      <rPr>
        <vertAlign val="subscript"/>
        <sz val="14"/>
        <color theme="1"/>
        <rFont val="Arial"/>
        <family val="2"/>
      </rPr>
      <t>ef</t>
    </r>
    <r>
      <rPr>
        <sz val="14"/>
        <color theme="1"/>
        <rFont val="Arial"/>
        <family val="2"/>
      </rPr>
      <t>*f</t>
    </r>
    <r>
      <rPr>
        <vertAlign val="subscript"/>
        <sz val="14"/>
        <color theme="1"/>
        <rFont val="Arial"/>
        <family val="2"/>
      </rPr>
      <t>ax,k</t>
    </r>
    <r>
      <rPr>
        <sz val="14"/>
        <color theme="1"/>
        <rFont val="Arial"/>
        <family val="2"/>
      </rPr>
      <t>*d*(</t>
    </r>
    <r>
      <rPr>
        <sz val="14"/>
        <color theme="1"/>
        <rFont val="Aptos Narrow"/>
        <family val="2"/>
      </rPr>
      <t>ρk/350)</t>
    </r>
    <r>
      <rPr>
        <vertAlign val="superscript"/>
        <sz val="14"/>
        <color theme="1"/>
        <rFont val="Aptos Narrow"/>
        <family val="2"/>
      </rPr>
      <t>^0,8</t>
    </r>
  </si>
  <si>
    <r>
      <t>F</t>
    </r>
    <r>
      <rPr>
        <vertAlign val="subscript"/>
        <sz val="14"/>
        <color theme="1"/>
        <rFont val="Aptos Display"/>
        <family val="2"/>
      </rPr>
      <t>ax,α,k</t>
    </r>
    <r>
      <rPr>
        <vertAlign val="subscript"/>
        <sz val="14"/>
        <color theme="1"/>
        <rFont val="Arial"/>
        <family val="2"/>
      </rPr>
      <t>,NT</t>
    </r>
  </si>
  <si>
    <r>
      <t>F</t>
    </r>
    <r>
      <rPr>
        <vertAlign val="subscript"/>
        <sz val="14"/>
        <color theme="1"/>
        <rFont val="Arial"/>
        <family val="2"/>
      </rPr>
      <t>v,Rk HT</t>
    </r>
  </si>
  <si>
    <r>
      <t>F</t>
    </r>
    <r>
      <rPr>
        <vertAlign val="subscript"/>
        <sz val="14"/>
        <color theme="1"/>
        <rFont val="Arial"/>
        <family val="2"/>
      </rPr>
      <t>v,Rk NT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</si>
  <si>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verdrehweich gehaltener HT: HT Seite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</si>
  <si>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verdrehweich gehaltener HT: NT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</si>
  <si>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verdrehsteif gehaltener HT: HT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</si>
  <si>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verdrehsteif gehaltener HT: NT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</si>
  <si>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verdrehweich gehaltener HT: HT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</si>
  <si>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verdrehweich gehaltener HT: NT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</si>
  <si>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verdrehsteif gehaltener HT: HT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</si>
  <si>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verdrehsteif gehaltener HT: NT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</si>
  <si>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verdrehweich gehaltener HT: HT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</si>
  <si>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verdrehweich gehaltener HT: NT Seite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</si>
  <si>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verdrehsteif gehaltener HT: Hauptträger Seite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</si>
  <si>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verdrehsteif gehaltener HT: Nebenträger Seite</t>
    </r>
  </si>
  <si>
    <t>2 x (Gl.14)</t>
  </si>
  <si>
    <t>2 x (Gl.17)</t>
  </si>
  <si>
    <t>gem. GU22-492-1-01; 2 x (Gl.18)</t>
  </si>
  <si>
    <t>Gl.18</t>
  </si>
  <si>
    <t>Gl.14</t>
  </si>
  <si>
    <t>Gl. 17</t>
  </si>
  <si>
    <t>Gl.23</t>
  </si>
  <si>
    <t>2 x (Gl.23)</t>
  </si>
  <si>
    <t>Gl.26</t>
  </si>
  <si>
    <t>2 x (Gl.26)</t>
  </si>
  <si>
    <t>Gl.27</t>
  </si>
  <si>
    <t>gem. GU22-492-1-01 (Gl.14; HT)</t>
  </si>
  <si>
    <t>2 x Gl.14; HT</t>
  </si>
  <si>
    <t>gem. GU22-492-1-01 (Gl.14; NT)</t>
  </si>
  <si>
    <t>2 x Gl.14; NT</t>
  </si>
  <si>
    <t>Gl.14; NT</t>
  </si>
  <si>
    <t>Gl. 28</t>
  </si>
  <si>
    <t>2 x Gl. 29</t>
  </si>
  <si>
    <t>2 x Gl. 23</t>
  </si>
  <si>
    <t>Gl. 23</t>
  </si>
  <si>
    <t>Gl. 29</t>
  </si>
  <si>
    <t>Gl. 30</t>
  </si>
  <si>
    <t>gem. GU22-492-1-01 (Gl.33; HT)</t>
  </si>
  <si>
    <t>gem. GU22-492-1-01 (Gl.33; NT)</t>
  </si>
  <si>
    <t>min. (Gl.33; HT) ; (Gl.33; NT)</t>
  </si>
  <si>
    <t>Gl. 33; HT</t>
  </si>
  <si>
    <t>Gl. 33; NT</t>
  </si>
  <si>
    <t>Gl. 34</t>
  </si>
  <si>
    <t>Gl. 35</t>
  </si>
  <si>
    <t>Gl. 36</t>
  </si>
  <si>
    <r>
      <t>Tragfähigkeit in Belastungsrichtung F</t>
    </r>
    <r>
      <rPr>
        <b/>
        <vertAlign val="subscript"/>
        <sz val="16"/>
        <color theme="1"/>
        <rFont val="Arial"/>
        <family val="2"/>
      </rPr>
      <t>1</t>
    </r>
    <r>
      <rPr>
        <b/>
        <sz val="16"/>
        <color theme="1"/>
        <rFont val="Arial"/>
        <family val="2"/>
      </rPr>
      <t>; F</t>
    </r>
    <r>
      <rPr>
        <b/>
        <vertAlign val="subscript"/>
        <sz val="16"/>
        <color theme="1"/>
        <rFont val="Arial"/>
        <family val="2"/>
      </rPr>
      <t>2</t>
    </r>
    <r>
      <rPr>
        <b/>
        <sz val="16"/>
        <color theme="1"/>
        <rFont val="Arial"/>
        <family val="2"/>
      </rPr>
      <t>; F</t>
    </r>
    <r>
      <rPr>
        <b/>
        <vertAlign val="subscript"/>
        <sz val="16"/>
        <color theme="1"/>
        <rFont val="Arial"/>
        <family val="2"/>
      </rPr>
      <t>3</t>
    </r>
  </si>
  <si>
    <r>
      <t>F</t>
    </r>
    <r>
      <rPr>
        <b/>
        <vertAlign val="subscript"/>
        <sz val="20"/>
        <color theme="1"/>
        <rFont val="Arial"/>
        <family val="2"/>
      </rPr>
      <t>1</t>
    </r>
    <r>
      <rPr>
        <b/>
        <sz val="20"/>
        <color theme="1"/>
        <rFont val="Arial"/>
        <family val="2"/>
      </rPr>
      <t xml:space="preserve"> verdrehsteif gehaltene Verbindung</t>
    </r>
  </si>
  <si>
    <r>
      <t>F</t>
    </r>
    <r>
      <rPr>
        <b/>
        <vertAlign val="subscript"/>
        <sz val="20"/>
        <color theme="1"/>
        <rFont val="Arial"/>
        <family val="2"/>
      </rPr>
      <t>1</t>
    </r>
    <r>
      <rPr>
        <b/>
        <sz val="20"/>
        <color theme="1"/>
        <rFont val="Arial"/>
        <family val="2"/>
      </rPr>
      <t xml:space="preserve"> verdrehweich gehaltene Verbindung</t>
    </r>
  </si>
  <si>
    <r>
      <t>F</t>
    </r>
    <r>
      <rPr>
        <b/>
        <vertAlign val="subscript"/>
        <sz val="20"/>
        <color theme="1"/>
        <rFont val="Arial"/>
        <family val="2"/>
      </rPr>
      <t>2</t>
    </r>
    <r>
      <rPr>
        <b/>
        <sz val="20"/>
        <color theme="1"/>
        <rFont val="Arial"/>
        <family val="2"/>
      </rPr>
      <t xml:space="preserve"> verdrehsteif gehaltene Verbindung</t>
    </r>
  </si>
  <si>
    <r>
      <t>F</t>
    </r>
    <r>
      <rPr>
        <b/>
        <vertAlign val="subscript"/>
        <sz val="20"/>
        <color theme="1"/>
        <rFont val="Arial"/>
        <family val="2"/>
      </rPr>
      <t>2</t>
    </r>
    <r>
      <rPr>
        <b/>
        <sz val="20"/>
        <color theme="1"/>
        <rFont val="Arial"/>
        <family val="2"/>
      </rPr>
      <t xml:space="preserve"> verdrehweich gehaltene Verbindung</t>
    </r>
  </si>
  <si>
    <r>
      <t>F</t>
    </r>
    <r>
      <rPr>
        <b/>
        <vertAlign val="subscript"/>
        <sz val="20"/>
        <color theme="1"/>
        <rFont val="Arial"/>
        <family val="2"/>
      </rPr>
      <t>3</t>
    </r>
    <r>
      <rPr>
        <b/>
        <sz val="20"/>
        <color theme="1"/>
        <rFont val="Arial"/>
        <family val="2"/>
      </rPr>
      <t xml:space="preserve"> verdrehsteif gehaltene Verbindung</t>
    </r>
  </si>
  <si>
    <r>
      <t>F</t>
    </r>
    <r>
      <rPr>
        <b/>
        <vertAlign val="subscript"/>
        <sz val="20"/>
        <color theme="1"/>
        <rFont val="Arial"/>
        <family val="2"/>
      </rPr>
      <t>3</t>
    </r>
    <r>
      <rPr>
        <b/>
        <sz val="20"/>
        <color theme="1"/>
        <rFont val="Arial"/>
        <family val="2"/>
      </rPr>
      <t xml:space="preserve"> verdrehweich gehaltene Verbindung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</si>
</sst>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&quot;°&quot;"/>
    <numFmt numFmtId="165" formatCode="0.00&quot; kN&quot;"/>
    <numFmt numFmtId="166" formatCode="0.0&quot; mm&quot;"/>
    <numFmt numFmtId="167" formatCode="0.0"/>
  </numFmts>
  <fonts count="19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i/>
      <sz val="9"/>
      <color theme="0" tint="-0.499984740745262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vertAlign val="subscript"/>
      <sz val="14"/>
      <color theme="1"/>
      <name val="Arial"/>
      <family val="2"/>
    </font>
    <font>
      <sz val="14"/>
      <color theme="1"/>
      <name val="Aptos Narrow"/>
      <family val="2"/>
    </font>
    <font>
      <sz val="14"/>
      <color theme="1"/>
      <name val="Aptos Narrow"/>
      <family val="2"/>
      <scheme val="minor"/>
    </font>
    <font>
      <vertAlign val="subscript"/>
      <sz val="14"/>
      <color theme="1"/>
      <name val="Aptos Display"/>
      <family val="2"/>
    </font>
    <font>
      <vertAlign val="superscript"/>
      <sz val="14"/>
      <color theme="1"/>
      <name val="Aptos Narrow"/>
      <family val="2"/>
    </font>
    <font>
      <b/>
      <sz val="16"/>
      <color theme="1"/>
      <name val="Arial"/>
      <family val="2"/>
    </font>
    <font>
      <i/>
      <sz val="14"/>
      <color theme="0" tint="-0.499984740745262"/>
      <name val="Arial"/>
      <family val="2"/>
    </font>
    <font>
      <b/>
      <vertAlign val="subscript"/>
      <sz val="16"/>
      <color theme="1"/>
      <name val="Arial"/>
      <family val="2"/>
    </font>
    <font>
      <b/>
      <sz val="48"/>
      <color theme="1"/>
      <name val="Arial"/>
      <family val="2"/>
    </font>
    <font>
      <b/>
      <sz val="20"/>
      <color theme="1"/>
      <name val="Arial"/>
      <family val="2"/>
    </font>
    <font>
      <b/>
      <vertAlign val="subscript"/>
      <sz val="2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167" fontId="0" fillId="0" borderId="0" xfId="0" applyNumberForma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/>
    <xf numFmtId="2" fontId="6" fillId="0" borderId="0" xfId="0" applyNumberFormat="1" applyFont="1"/>
    <xf numFmtId="166" fontId="6" fillId="0" borderId="0" xfId="0" applyNumberFormat="1" applyFont="1"/>
    <xf numFmtId="164" fontId="6" fillId="0" borderId="0" xfId="0" applyNumberFormat="1" applyFont="1"/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167" fontId="7" fillId="0" borderId="0" xfId="0" applyNumberFormat="1" applyFont="1"/>
    <xf numFmtId="2" fontId="7" fillId="0" borderId="0" xfId="0" applyNumberFormat="1" applyFont="1"/>
    <xf numFmtId="164" fontId="7" fillId="0" borderId="0" xfId="0" applyNumberFormat="1" applyFont="1"/>
    <xf numFmtId="166" fontId="7" fillId="0" borderId="0" xfId="0" applyNumberFormat="1" applyFont="1"/>
    <xf numFmtId="1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/>
    <xf numFmtId="0" fontId="7" fillId="0" borderId="0" xfId="0" applyFont="1" applyAlignment="1">
      <alignment horizontal="right"/>
    </xf>
    <xf numFmtId="1" fontId="7" fillId="0" borderId="0" xfId="0" applyNumberFormat="1" applyFont="1"/>
    <xf numFmtId="165" fontId="7" fillId="0" borderId="0" xfId="0" applyNumberFormat="1" applyFo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1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" fontId="6" fillId="0" borderId="0" xfId="0" applyNumberFormat="1" applyFont="1"/>
    <xf numFmtId="0" fontId="17" fillId="0" borderId="3" xfId="0" applyFont="1" applyBorder="1"/>
    <xf numFmtId="2" fontId="17" fillId="2" borderId="3" xfId="0" applyNumberFormat="1" applyFont="1" applyFill="1" applyBorder="1"/>
    <xf numFmtId="1" fontId="7" fillId="3" borderId="1" xfId="0" applyNumberFormat="1" applyFont="1" applyFill="1" applyBorder="1" applyProtection="1">
      <protection locked="0"/>
    </xf>
    <xf numFmtId="0" fontId="7" fillId="3" borderId="1" xfId="0" applyFont="1" applyFill="1" applyBorder="1" applyProtection="1">
      <protection locked="0"/>
    </xf>
    <xf numFmtId="0" fontId="7" fillId="3" borderId="2" xfId="0" applyFont="1" applyFill="1" applyBorder="1" applyProtection="1">
      <protection locked="0"/>
    </xf>
    <xf numFmtId="1" fontId="7" fillId="3" borderId="1" xfId="0" applyNumberFormat="1" applyFont="1" applyFill="1" applyBorder="1" applyAlignment="1" applyProtection="1">
      <alignment horizontal="left"/>
      <protection locked="0"/>
    </xf>
    <xf numFmtId="0" fontId="7" fillId="3" borderId="0" xfId="0" applyFont="1" applyFill="1" applyAlignment="1" applyProtection="1">
      <alignment horizontal="left"/>
      <protection locked="0"/>
    </xf>
    <xf numFmtId="164" fontId="7" fillId="3" borderId="0" xfId="0" applyNumberFormat="1" applyFont="1" applyFill="1" applyProtection="1">
      <protection locked="0"/>
    </xf>
    <xf numFmtId="0" fontId="0" fillId="0" borderId="3" xfId="0" applyBorder="1"/>
    <xf numFmtId="0" fontId="14" fillId="0" borderId="0" xfId="0" applyFont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wmf"/><Relationship Id="rId13" Type="http://schemas.openxmlformats.org/officeDocument/2006/relationships/image" Target="../media/image14.wmf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w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wmf"/><Relationship Id="rId16" Type="http://schemas.openxmlformats.org/officeDocument/2006/relationships/image" Target="../media/image17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11" Type="http://schemas.openxmlformats.org/officeDocument/2006/relationships/image" Target="../media/image12.wmf"/><Relationship Id="rId5" Type="http://schemas.openxmlformats.org/officeDocument/2006/relationships/image" Target="../media/image6.emf"/><Relationship Id="rId15" Type="http://schemas.openxmlformats.org/officeDocument/2006/relationships/image" Target="../media/image16.wmf"/><Relationship Id="rId10" Type="http://schemas.openxmlformats.org/officeDocument/2006/relationships/image" Target="../media/image11.w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137584</xdr:colOff>
      <xdr:row>269</xdr:row>
      <xdr:rowOff>74085</xdr:rowOff>
    </xdr:from>
    <xdr:to>
      <xdr:col>2</xdr:col>
      <xdr:colOff>3005667</xdr:colOff>
      <xdr:row>280</xdr:row>
      <xdr:rowOff>182167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584" y="65521418"/>
          <a:ext cx="2868083" cy="2785666"/>
        </a:xfrm>
        <a:prstGeom prst="rect">
          <a:avLst/>
        </a:prstGeom>
      </xdr:spPr>
    </xdr:pic>
    <xdr:clientData/>
  </xdr:twoCellAnchor>
  <xdr:twoCellAnchor editAs="oneCell">
    <xdr:from>
      <xdr:col>2</xdr:col>
      <xdr:colOff>37042</xdr:colOff>
      <xdr:row>246</xdr:row>
      <xdr:rowOff>119592</xdr:rowOff>
    </xdr:from>
    <xdr:to>
      <xdr:col>2</xdr:col>
      <xdr:colOff>2841625</xdr:colOff>
      <xdr:row>255</xdr:row>
      <xdr:rowOff>130721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217" y="60850992"/>
          <a:ext cx="2804583" cy="2239979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182</xdr:row>
      <xdr:rowOff>31750</xdr:rowOff>
    </xdr:from>
    <xdr:to>
      <xdr:col>3</xdr:col>
      <xdr:colOff>42334</xdr:colOff>
      <xdr:row>188</xdr:row>
      <xdr:rowOff>208485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040"/>
        <a:stretch/>
      </xdr:blipFill>
      <xdr:spPr>
        <a:xfrm>
          <a:off x="571501" y="44788667"/>
          <a:ext cx="2815166" cy="16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151</xdr:row>
      <xdr:rowOff>31751</xdr:rowOff>
    </xdr:from>
    <xdr:to>
      <xdr:col>2</xdr:col>
      <xdr:colOff>3079750</xdr:colOff>
      <xdr:row>161</xdr:row>
      <xdr:rowOff>15403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667" y="37486168"/>
          <a:ext cx="2995083" cy="2417818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124</xdr:row>
      <xdr:rowOff>10582</xdr:rowOff>
    </xdr:from>
    <xdr:to>
      <xdr:col>3</xdr:col>
      <xdr:colOff>45944</xdr:colOff>
      <xdr:row>133</xdr:row>
      <xdr:rowOff>122006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167" y="31051499"/>
          <a:ext cx="3115110" cy="2143424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7</xdr:row>
      <xdr:rowOff>219075</xdr:rowOff>
    </xdr:from>
    <xdr:to>
      <xdr:col>8</xdr:col>
      <xdr:colOff>2171700</xdr:colOff>
      <xdr:row>18</xdr:row>
      <xdr:rowOff>59722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1000" y="1933575"/>
          <a:ext cx="1571625" cy="24252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295275</xdr:colOff>
          <xdr:row>19</xdr:row>
          <xdr:rowOff>171450</xdr:rowOff>
        </xdr:from>
        <xdr:to>
          <xdr:col>9</xdr:col>
          <xdr:colOff>285750</xdr:colOff>
          <xdr:row>23</xdr:row>
          <xdr:rowOff>19050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933450</xdr:colOff>
      <xdr:row>41</xdr:row>
      <xdr:rowOff>171450</xdr:rowOff>
    </xdr:from>
    <xdr:to>
      <xdr:col>3</xdr:col>
      <xdr:colOff>86998</xdr:colOff>
      <xdr:row>51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2" t="15524" r="32971" b="35495"/>
        <a:stretch/>
      </xdr:blipFill>
      <xdr:spPr>
        <a:xfrm>
          <a:off x="1190625" y="8553450"/>
          <a:ext cx="2239648" cy="18859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238125</xdr:colOff>
          <xdr:row>41</xdr:row>
          <xdr:rowOff>142875</xdr:rowOff>
        </xdr:from>
        <xdr:to>
          <xdr:col>10</xdr:col>
          <xdr:colOff>314325</xdr:colOff>
          <xdr:row>51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104775</xdr:colOff>
      <xdr:row>54</xdr:row>
      <xdr:rowOff>171450</xdr:rowOff>
    </xdr:from>
    <xdr:to>
      <xdr:col>8</xdr:col>
      <xdr:colOff>2676285</xdr:colOff>
      <xdr:row>64</xdr:row>
      <xdr:rowOff>140494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05700" y="10420350"/>
          <a:ext cx="2611515" cy="2162175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54</xdr:row>
      <xdr:rowOff>85725</xdr:rowOff>
    </xdr:from>
    <xdr:to>
      <xdr:col>8</xdr:col>
      <xdr:colOff>150649</xdr:colOff>
      <xdr:row>64</xdr:row>
      <xdr:rowOff>178912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48425" y="10334625"/>
          <a:ext cx="1103149" cy="2276793"/>
        </a:xfrm>
        <a:prstGeom prst="rect">
          <a:avLst/>
        </a:prstGeom>
      </xdr:spPr>
    </xdr:pic>
    <xdr:clientData/>
  </xdr:twoCellAnchor>
  <xdr:twoCellAnchor editAs="oneCell">
    <xdr:from>
      <xdr:col>8</xdr:col>
      <xdr:colOff>1007745</xdr:colOff>
      <xdr:row>71</xdr:row>
      <xdr:rowOff>150495</xdr:rowOff>
    </xdr:from>
    <xdr:to>
      <xdr:col>8</xdr:col>
      <xdr:colOff>2989227</xdr:colOff>
      <xdr:row>77</xdr:row>
      <xdr:rowOff>124583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8408670" y="13828395"/>
          <a:ext cx="2019582" cy="2019582"/>
        </a:xfrm>
        <a:prstGeom prst="rect">
          <a:avLst/>
        </a:prstGeom>
      </xdr:spPr>
    </xdr:pic>
    <xdr:clientData/>
  </xdr:twoCellAnchor>
  <xdr:twoCellAnchor editAs="oneCell">
    <xdr:from>
      <xdr:col>8</xdr:col>
      <xdr:colOff>866775</xdr:colOff>
      <xdr:row>85</xdr:row>
      <xdr:rowOff>66675</xdr:rowOff>
    </xdr:from>
    <xdr:to>
      <xdr:col>8</xdr:col>
      <xdr:colOff>3236936</xdr:colOff>
      <xdr:row>93</xdr:row>
      <xdr:rowOff>176552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58300" y="21888450"/>
          <a:ext cx="2198711" cy="2795927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200026</xdr:colOff>
      <xdr:row>98</xdr:row>
      <xdr:rowOff>26670</xdr:rowOff>
    </xdr:from>
    <xdr:to>
      <xdr:col>8</xdr:col>
      <xdr:colOff>3208257</xdr:colOff>
      <xdr:row>109</xdr:row>
      <xdr:rowOff>19050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91551" y="25677495"/>
          <a:ext cx="2836781" cy="208788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112</xdr:row>
      <xdr:rowOff>38100</xdr:rowOff>
    </xdr:from>
    <xdr:to>
      <xdr:col>8</xdr:col>
      <xdr:colOff>2705100</xdr:colOff>
      <xdr:row>121</xdr:row>
      <xdr:rowOff>115952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91425" y="21964650"/>
          <a:ext cx="2552700" cy="17161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128</xdr:row>
          <xdr:rowOff>133350</xdr:rowOff>
        </xdr:from>
        <xdr:to>
          <xdr:col>5</xdr:col>
          <xdr:colOff>38100</xdr:colOff>
          <xdr:row>133</xdr:row>
          <xdr:rowOff>200025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137</xdr:row>
          <xdr:rowOff>209550</xdr:rowOff>
        </xdr:from>
        <xdr:to>
          <xdr:col>7</xdr:col>
          <xdr:colOff>295275</xdr:colOff>
          <xdr:row>141</xdr:row>
          <xdr:rowOff>219075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147</xdr:row>
          <xdr:rowOff>28575</xdr:rowOff>
        </xdr:from>
        <xdr:to>
          <xdr:col>5</xdr:col>
          <xdr:colOff>447675</xdr:colOff>
          <xdr:row>149</xdr:row>
          <xdr:rowOff>200025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3057525</xdr:colOff>
          <xdr:row>151</xdr:row>
          <xdr:rowOff>114300</xdr:rowOff>
        </xdr:from>
        <xdr:to>
          <xdr:col>5</xdr:col>
          <xdr:colOff>762000</xdr:colOff>
          <xdr:row>157</xdr:row>
          <xdr:rowOff>161925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3057525</xdr:colOff>
          <xdr:row>164</xdr:row>
          <xdr:rowOff>76200</xdr:rowOff>
        </xdr:from>
        <xdr:to>
          <xdr:col>5</xdr:col>
          <xdr:colOff>971550</xdr:colOff>
          <xdr:row>171</xdr:row>
          <xdr:rowOff>19050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175</xdr:row>
          <xdr:rowOff>28575</xdr:rowOff>
        </xdr:from>
        <xdr:to>
          <xdr:col>5</xdr:col>
          <xdr:colOff>447675</xdr:colOff>
          <xdr:row>177</xdr:row>
          <xdr:rowOff>180975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3086100</xdr:colOff>
          <xdr:row>185</xdr:row>
          <xdr:rowOff>47625</xdr:rowOff>
        </xdr:from>
        <xdr:to>
          <xdr:col>5</xdr:col>
          <xdr:colOff>266700</xdr:colOff>
          <xdr:row>190</xdr:row>
          <xdr:rowOff>238125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195</xdr:row>
          <xdr:rowOff>57150</xdr:rowOff>
        </xdr:from>
        <xdr:to>
          <xdr:col>5</xdr:col>
          <xdr:colOff>619125</xdr:colOff>
          <xdr:row>200</xdr:row>
          <xdr:rowOff>200025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207</xdr:row>
          <xdr:rowOff>0</xdr:rowOff>
        </xdr:from>
        <xdr:to>
          <xdr:col>7</xdr:col>
          <xdr:colOff>485775</xdr:colOff>
          <xdr:row>209</xdr:row>
          <xdr:rowOff>200025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133350</xdr:colOff>
          <xdr:row>213</xdr:row>
          <xdr:rowOff>219075</xdr:rowOff>
        </xdr:from>
        <xdr:to>
          <xdr:col>5</xdr:col>
          <xdr:colOff>923925</xdr:colOff>
          <xdr:row>221</xdr:row>
          <xdr:rowOff>9525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</xdr:colOff>
          <xdr:row>229</xdr:row>
          <xdr:rowOff>19050</xdr:rowOff>
        </xdr:from>
        <xdr:to>
          <xdr:col>6</xdr:col>
          <xdr:colOff>76200</xdr:colOff>
          <xdr:row>234</xdr:row>
          <xdr:rowOff>238125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240</xdr:row>
          <xdr:rowOff>57150</xdr:rowOff>
        </xdr:from>
        <xdr:to>
          <xdr:col>5</xdr:col>
          <xdr:colOff>466725</xdr:colOff>
          <xdr:row>242</xdr:row>
          <xdr:rowOff>209550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253</xdr:row>
          <xdr:rowOff>133350</xdr:rowOff>
        </xdr:from>
        <xdr:to>
          <xdr:col>4</xdr:col>
          <xdr:colOff>1219200</xdr:colOff>
          <xdr:row>255</xdr:row>
          <xdr:rowOff>133350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259</xdr:row>
          <xdr:rowOff>133350</xdr:rowOff>
        </xdr:from>
        <xdr:to>
          <xdr:col>4</xdr:col>
          <xdr:colOff>1219200</xdr:colOff>
          <xdr:row>261</xdr:row>
          <xdr:rowOff>133350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3086100</xdr:colOff>
          <xdr:row>264</xdr:row>
          <xdr:rowOff>171450</xdr:rowOff>
        </xdr:from>
        <xdr:to>
          <xdr:col>4</xdr:col>
          <xdr:colOff>1838325</xdr:colOff>
          <xdr:row>267</xdr:row>
          <xdr:rowOff>238125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276</xdr:row>
          <xdr:rowOff>0</xdr:rowOff>
        </xdr:from>
        <xdr:to>
          <xdr:col>4</xdr:col>
          <xdr:colOff>1905000</xdr:colOff>
          <xdr:row>280</xdr:row>
          <xdr:rowOff>171450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284</xdr:row>
          <xdr:rowOff>19050</xdr:rowOff>
        </xdr:from>
        <xdr:to>
          <xdr:col>4</xdr:col>
          <xdr:colOff>1914525</xdr:colOff>
          <xdr:row>288</xdr:row>
          <xdr:rowOff>190500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291</xdr:row>
          <xdr:rowOff>200025</xdr:rowOff>
        </xdr:from>
        <xdr:to>
          <xdr:col>5</xdr:col>
          <xdr:colOff>161925</xdr:colOff>
          <xdr:row>294</xdr:row>
          <xdr:rowOff>104775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264584</xdr:colOff>
      <xdr:row>29</xdr:row>
      <xdr:rowOff>222250</xdr:rowOff>
    </xdr:from>
    <xdr:to>
      <xdr:col>8</xdr:col>
      <xdr:colOff>2890803</xdr:colOff>
      <xdr:row>32</xdr:row>
      <xdr:rowOff>95249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9091"/>
        <a:stretch/>
      </xdr:blipFill>
      <xdr:spPr>
        <a:xfrm>
          <a:off x="8657167" y="7482417"/>
          <a:ext cx="2459003" cy="6349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213</xdr:row>
      <xdr:rowOff>31750</xdr:rowOff>
    </xdr:from>
    <xdr:to>
      <xdr:col>3</xdr:col>
      <xdr:colOff>0</xdr:colOff>
      <xdr:row>223</xdr:row>
      <xdr:rowOff>15401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9250" y="52334583"/>
          <a:ext cx="2995083" cy="2417818"/>
        </a:xfrm>
        <a:prstGeom prst="rect">
          <a:avLst/>
        </a:prstGeom>
      </xdr:spPr>
    </xdr:pic>
    <xdr:clientData/>
  </xdr:twoCellAnchor>
  <xdr:twoCellAnchor>
    <xdr:from>
      <xdr:col>2</xdr:col>
      <xdr:colOff>719667</xdr:colOff>
      <xdr:row>212</xdr:row>
      <xdr:rowOff>95250</xdr:rowOff>
    </xdr:from>
    <xdr:to>
      <xdr:col>2</xdr:col>
      <xdr:colOff>1259417</xdr:colOff>
      <xdr:row>214</xdr:row>
      <xdr:rowOff>158750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73667" y="52154667"/>
          <a:ext cx="539750" cy="5503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AT" sz="1100"/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.bin"/><Relationship Id="rId18" Type="http://schemas.openxmlformats.org/officeDocument/2006/relationships/image" Target="../media/image8.wmf"/><Relationship Id="rId26" Type="http://schemas.openxmlformats.org/officeDocument/2006/relationships/oleObject" Target="../embeddings/oleObject12.bin"/><Relationship Id="rId39" Type="http://schemas.openxmlformats.org/officeDocument/2006/relationships/oleObject" Target="../embeddings/oleObject19.bin"/><Relationship Id="rId21" Type="http://schemas.openxmlformats.org/officeDocument/2006/relationships/oleObject" Target="../embeddings/oleObject9.bin"/><Relationship Id="rId34" Type="http://schemas.openxmlformats.org/officeDocument/2006/relationships/image" Target="../media/image15.emf"/><Relationship Id="rId42" Type="http://schemas.openxmlformats.org/officeDocument/2006/relationships/image" Target="../media/image19.emf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1.xml"/><Relationship Id="rId16" Type="http://schemas.openxmlformats.org/officeDocument/2006/relationships/image" Target="../media/image7.wmf"/><Relationship Id="rId20" Type="http://schemas.openxmlformats.org/officeDocument/2006/relationships/image" Target="../media/image9.wmf"/><Relationship Id="rId29" Type="http://schemas.openxmlformats.org/officeDocument/2006/relationships/oleObject" Target="../embeddings/oleObject14.bin"/><Relationship Id="rId41" Type="http://schemas.openxmlformats.org/officeDocument/2006/relationships/oleObject" Target="../embeddings/oleObject20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wmf"/><Relationship Id="rId11" Type="http://schemas.openxmlformats.org/officeDocument/2006/relationships/oleObject" Target="../embeddings/oleObject4.bin"/><Relationship Id="rId24" Type="http://schemas.openxmlformats.org/officeDocument/2006/relationships/oleObject" Target="../embeddings/oleObject11.bin"/><Relationship Id="rId32" Type="http://schemas.openxmlformats.org/officeDocument/2006/relationships/image" Target="../media/image14.wmf"/><Relationship Id="rId37" Type="http://schemas.openxmlformats.org/officeDocument/2006/relationships/oleObject" Target="../embeddings/oleObject18.bin"/><Relationship Id="rId40" Type="http://schemas.openxmlformats.org/officeDocument/2006/relationships/image" Target="../media/image18.emf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23" Type="http://schemas.openxmlformats.org/officeDocument/2006/relationships/image" Target="../media/image10.emf"/><Relationship Id="rId28" Type="http://schemas.openxmlformats.org/officeDocument/2006/relationships/image" Target="../media/image12.wmf"/><Relationship Id="rId36" Type="http://schemas.openxmlformats.org/officeDocument/2006/relationships/image" Target="../media/image16.wmf"/><Relationship Id="rId10" Type="http://schemas.openxmlformats.org/officeDocument/2006/relationships/image" Target="../media/image4.emf"/><Relationship Id="rId19" Type="http://schemas.openxmlformats.org/officeDocument/2006/relationships/oleObject" Target="../embeddings/oleObject8.bin"/><Relationship Id="rId31" Type="http://schemas.openxmlformats.org/officeDocument/2006/relationships/oleObject" Target="../embeddings/oleObject15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6.emf"/><Relationship Id="rId22" Type="http://schemas.openxmlformats.org/officeDocument/2006/relationships/oleObject" Target="../embeddings/oleObject10.bin"/><Relationship Id="rId27" Type="http://schemas.openxmlformats.org/officeDocument/2006/relationships/oleObject" Target="../embeddings/oleObject13.bin"/><Relationship Id="rId30" Type="http://schemas.openxmlformats.org/officeDocument/2006/relationships/image" Target="../media/image13.emf"/><Relationship Id="rId35" Type="http://schemas.openxmlformats.org/officeDocument/2006/relationships/oleObject" Target="../embeddings/oleObject17.bin"/><Relationship Id="rId8" Type="http://schemas.openxmlformats.org/officeDocument/2006/relationships/image" Target="../media/image3.wmf"/><Relationship Id="rId3" Type="http://schemas.openxmlformats.org/officeDocument/2006/relationships/vmlDrawing" Target="../drawings/vmlDrawing1.vml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7.bin"/><Relationship Id="rId25" Type="http://schemas.openxmlformats.org/officeDocument/2006/relationships/image" Target="../media/image11.wmf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7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6CD7-7F65-4BDC-88A5-A0AF23EA783C}">
  <dimension ref="C1:L297"/>
  <sheetViews>
    <sheetView showGridLines="0" tabSelected="1" view="pageLayout" topLeftCell="A123" zoomScale="85" zoomScaleNormal="100" zoomScaleSheetLayoutView="100" zoomScalePageLayoutView="85" workbookViewId="0">
      <selection activeCell="F7" sqref="F7"/>
    </sheetView>
  </sheetViews>
  <sheetFormatPr baseColWidth="10" defaultRowHeight="15" x14ac:dyDescent="0.25"/>
  <cols>
    <col min="1" max="1" width="7.42578125" customWidth="1"/>
    <col min="2" max="2" width="11" customWidth="1"/>
    <col min="3" max="3" width="46.28515625" customWidth="1"/>
    <col min="4" max="4" width="8.7109375" customWidth="1"/>
    <col min="5" max="5" width="28.85546875" customWidth="1"/>
    <col min="6" max="6" width="15.28515625" bestFit="1" customWidth="1"/>
    <col min="9" max="9" width="56.140625" customWidth="1"/>
    <col min="10" max="10" width="4.28515625" customWidth="1"/>
    <col min="12" max="12" width="11.7109375" bestFit="1" customWidth="1"/>
  </cols>
  <sheetData>
    <row r="1" spans="3:10" x14ac:dyDescent="0.25">
      <c r="C1" s="2"/>
      <c r="D1" s="2"/>
      <c r="E1" s="2"/>
      <c r="F1" s="2"/>
      <c r="G1" s="2"/>
      <c r="H1" s="2"/>
      <c r="I1" s="2"/>
      <c r="J1" s="2"/>
    </row>
    <row r="2" spans="3:10" ht="60" x14ac:dyDescent="0.8">
      <c r="C2" s="55" t="s">
        <v>0</v>
      </c>
      <c r="D2" s="55"/>
      <c r="E2" s="55"/>
      <c r="F2" s="55"/>
      <c r="G2" s="55"/>
      <c r="H2" s="55"/>
      <c r="I2" s="55"/>
      <c r="J2" s="2"/>
    </row>
    <row r="3" spans="3:10" ht="17.25" customHeight="1" x14ac:dyDescent="0.25">
      <c r="C3" s="58" t="s">
        <v>76</v>
      </c>
      <c r="D3" s="58"/>
      <c r="E3" s="58"/>
      <c r="F3" s="58"/>
      <c r="G3" s="58"/>
      <c r="H3" s="58"/>
      <c r="I3" s="58"/>
      <c r="J3" s="2"/>
    </row>
    <row r="4" spans="3:10" ht="23.25" x14ac:dyDescent="0.35">
      <c r="C4" s="3" t="s">
        <v>17</v>
      </c>
      <c r="D4" s="3"/>
      <c r="E4" s="3"/>
      <c r="F4" s="2"/>
      <c r="G4" s="2"/>
      <c r="H4" s="2"/>
      <c r="I4" s="2"/>
      <c r="J4" s="2"/>
    </row>
    <row r="5" spans="3:10" ht="23.25" x14ac:dyDescent="0.35">
      <c r="C5" s="3"/>
      <c r="D5" s="3"/>
      <c r="E5" s="3"/>
      <c r="F5" s="2"/>
      <c r="G5" s="2"/>
      <c r="H5" s="2"/>
      <c r="I5" s="2"/>
      <c r="J5" s="2"/>
    </row>
    <row r="6" spans="3:10" ht="18" customHeight="1" x14ac:dyDescent="0.25">
      <c r="C6" s="32" t="s">
        <v>77</v>
      </c>
      <c r="D6" s="5"/>
      <c r="E6" s="5"/>
      <c r="F6" s="2"/>
      <c r="G6" s="2"/>
      <c r="H6" s="2"/>
      <c r="I6" s="2"/>
      <c r="J6" s="2"/>
    </row>
    <row r="7" spans="3:10" ht="18" customHeight="1" x14ac:dyDescent="0.25">
      <c r="C7" s="19" t="s">
        <v>3</v>
      </c>
      <c r="D7" s="19"/>
      <c r="E7" s="27" t="s">
        <v>94</v>
      </c>
      <c r="F7" s="44">
        <v>425</v>
      </c>
      <c r="G7" s="18" t="s">
        <v>24</v>
      </c>
      <c r="H7" s="54" t="s">
        <v>52</v>
      </c>
      <c r="I7" s="54"/>
    </row>
    <row r="8" spans="3:10" ht="18" customHeight="1" x14ac:dyDescent="0.25">
      <c r="C8" s="19" t="s">
        <v>4</v>
      </c>
      <c r="D8" s="19"/>
      <c r="E8" s="27" t="s">
        <v>94</v>
      </c>
      <c r="F8" s="44">
        <v>425</v>
      </c>
      <c r="G8" s="18" t="s">
        <v>24</v>
      </c>
      <c r="H8" s="54" t="s">
        <v>53</v>
      </c>
      <c r="I8" s="54"/>
    </row>
    <row r="9" spans="3:10" ht="18" customHeight="1" x14ac:dyDescent="0.25">
      <c r="C9" s="7"/>
      <c r="D9" s="7"/>
      <c r="E9" s="12"/>
      <c r="F9" s="41"/>
      <c r="G9" s="8"/>
      <c r="H9" s="2"/>
    </row>
    <row r="10" spans="3:10" ht="18" customHeight="1" x14ac:dyDescent="0.25">
      <c r="C10" s="7"/>
      <c r="D10" s="7"/>
      <c r="E10" s="12"/>
      <c r="F10" s="41"/>
      <c r="G10" s="8"/>
      <c r="H10" s="2"/>
    </row>
    <row r="11" spans="3:10" ht="18" customHeight="1" x14ac:dyDescent="0.25">
      <c r="C11" s="32" t="s">
        <v>20</v>
      </c>
      <c r="D11" s="5"/>
      <c r="E11" s="13"/>
      <c r="F11" s="2"/>
      <c r="G11" s="2"/>
      <c r="H11" s="2"/>
    </row>
    <row r="12" spans="3:10" ht="21" x14ac:dyDescent="0.25">
      <c r="C12" s="19" t="s">
        <v>21</v>
      </c>
      <c r="D12" s="19" t="s">
        <v>18</v>
      </c>
      <c r="E12" s="27" t="s">
        <v>95</v>
      </c>
      <c r="F12" s="45">
        <v>160</v>
      </c>
      <c r="G12" s="18" t="s">
        <v>23</v>
      </c>
      <c r="H12" s="2"/>
      <c r="I12" t="e" vm="1">
        <v>#VALUE!</v>
      </c>
    </row>
    <row r="13" spans="3:10" ht="21" x14ac:dyDescent="0.25">
      <c r="C13" s="19"/>
      <c r="D13" s="19" t="s">
        <v>19</v>
      </c>
      <c r="E13" s="27" t="s">
        <v>96</v>
      </c>
      <c r="F13" s="45">
        <v>400</v>
      </c>
      <c r="G13" s="18" t="s">
        <v>23</v>
      </c>
      <c r="H13" s="2"/>
      <c r="I13" t="e" vm="1">
        <v>#VALUE!</v>
      </c>
    </row>
    <row r="14" spans="3:10" ht="18" x14ac:dyDescent="0.25">
      <c r="C14" s="5"/>
      <c r="D14" s="5"/>
      <c r="E14" s="13"/>
      <c r="F14" s="2"/>
      <c r="G14" s="2"/>
      <c r="H14" s="2"/>
      <c r="I14" t="e" vm="1">
        <v>#VALUE!</v>
      </c>
    </row>
    <row r="15" spans="3:10" ht="21" x14ac:dyDescent="0.25">
      <c r="C15" s="19" t="s">
        <v>22</v>
      </c>
      <c r="D15" s="19" t="s">
        <v>18</v>
      </c>
      <c r="E15" s="27" t="s">
        <v>97</v>
      </c>
      <c r="F15" s="45">
        <v>160</v>
      </c>
      <c r="G15" s="18" t="s">
        <v>23</v>
      </c>
      <c r="H15" s="2"/>
      <c r="I15" t="e" vm="1">
        <v>#VALUE!</v>
      </c>
    </row>
    <row r="16" spans="3:10" ht="21" x14ac:dyDescent="0.25">
      <c r="C16" s="19"/>
      <c r="D16" s="19" t="s">
        <v>19</v>
      </c>
      <c r="E16" s="27" t="s">
        <v>98</v>
      </c>
      <c r="F16" s="46">
        <v>400</v>
      </c>
      <c r="G16" s="18" t="s">
        <v>23</v>
      </c>
      <c r="H16" s="2"/>
      <c r="I16" t="e" vm="1">
        <v>#VALUE!</v>
      </c>
    </row>
    <row r="17" spans="3:9" ht="20.25" x14ac:dyDescent="0.25">
      <c r="C17" s="33" t="s">
        <v>26</v>
      </c>
      <c r="D17" s="4"/>
      <c r="E17" s="4"/>
      <c r="F17" s="2"/>
      <c r="G17" s="2"/>
      <c r="H17" s="2"/>
      <c r="I17" t="e" vm="1">
        <v>#VALUE!</v>
      </c>
    </row>
    <row r="18" spans="3:9" ht="18" x14ac:dyDescent="0.25">
      <c r="C18" s="18" t="s">
        <v>28</v>
      </c>
      <c r="D18" s="19" t="s">
        <v>27</v>
      </c>
      <c r="E18" s="18"/>
      <c r="F18" s="44">
        <v>90</v>
      </c>
      <c r="G18" s="18" t="s">
        <v>25</v>
      </c>
      <c r="H18" s="2"/>
      <c r="I18" t="e" vm="1">
        <v>#VALUE!</v>
      </c>
    </row>
    <row r="19" spans="3:9" ht="21" x14ac:dyDescent="0.35">
      <c r="C19" s="18"/>
      <c r="D19" s="18" t="s">
        <v>99</v>
      </c>
      <c r="E19" s="18"/>
      <c r="F19" s="18">
        <f>IF(F18&gt;45,1,0.3+(0.7*F18/45))</f>
        <v>1</v>
      </c>
      <c r="G19" s="28"/>
      <c r="H19" s="54" t="s">
        <v>33</v>
      </c>
      <c r="I19" s="54"/>
    </row>
    <row r="20" spans="3:9" ht="18.75" x14ac:dyDescent="0.3">
      <c r="C20" s="28"/>
      <c r="D20" s="28"/>
      <c r="E20" s="28"/>
      <c r="F20" s="28"/>
      <c r="G20" s="28"/>
      <c r="H20" s="2"/>
      <c r="I20" t="e" vm="1">
        <v>#VALUE!</v>
      </c>
    </row>
    <row r="21" spans="3:9" ht="18" x14ac:dyDescent="0.25">
      <c r="C21" s="18" t="s">
        <v>29</v>
      </c>
      <c r="D21" s="19" t="s">
        <v>27</v>
      </c>
      <c r="E21" s="18"/>
      <c r="F21" s="44">
        <v>35</v>
      </c>
      <c r="G21" s="18" t="s">
        <v>25</v>
      </c>
      <c r="H21" s="2"/>
      <c r="I21" t="e" vm="1">
        <v>#VALUE!</v>
      </c>
    </row>
    <row r="22" spans="3:9" ht="21" x14ac:dyDescent="0.35">
      <c r="C22" s="18"/>
      <c r="D22" s="18" t="s">
        <v>99</v>
      </c>
      <c r="E22" s="18"/>
      <c r="F22" s="22">
        <f>IF(F60&gt;45,1,0.3+(0.7*F60/45))</f>
        <v>0.84444444444444433</v>
      </c>
      <c r="G22" s="18"/>
      <c r="H22" s="54" t="s">
        <v>33</v>
      </c>
      <c r="I22" s="54"/>
    </row>
    <row r="23" spans="3:9" ht="18" x14ac:dyDescent="0.25">
      <c r="C23" s="18"/>
      <c r="D23" s="18"/>
      <c r="E23" s="18"/>
      <c r="F23" s="22"/>
      <c r="G23" s="18"/>
      <c r="H23" s="2"/>
    </row>
    <row r="24" spans="3:9" ht="18" x14ac:dyDescent="0.25">
      <c r="C24" s="18" t="s">
        <v>30</v>
      </c>
      <c r="D24" s="18"/>
      <c r="E24" s="29" t="s">
        <v>32</v>
      </c>
      <c r="F24" s="47">
        <v>155</v>
      </c>
      <c r="G24" s="18"/>
      <c r="H24" s="54" t="s">
        <v>33</v>
      </c>
      <c r="I24" s="54"/>
    </row>
    <row r="25" spans="3:9" ht="21" x14ac:dyDescent="0.35">
      <c r="C25" s="18"/>
      <c r="D25" s="18" t="s">
        <v>100</v>
      </c>
      <c r="E25" s="18"/>
      <c r="F25" s="30">
        <f>F24-13-5</f>
        <v>137</v>
      </c>
      <c r="G25" s="18" t="s">
        <v>23</v>
      </c>
      <c r="H25" s="2"/>
      <c r="I25" t="e" vm="1">
        <v>#VALUE!</v>
      </c>
    </row>
    <row r="26" spans="3:9" ht="18" x14ac:dyDescent="0.25">
      <c r="C26" s="18" t="s">
        <v>31</v>
      </c>
      <c r="D26" s="18"/>
      <c r="E26" s="29" t="s">
        <v>32</v>
      </c>
      <c r="F26" s="47">
        <v>155</v>
      </c>
      <c r="G26" s="18"/>
      <c r="H26" s="54" t="s">
        <v>33</v>
      </c>
      <c r="I26" s="54"/>
    </row>
    <row r="27" spans="3:9" ht="21" x14ac:dyDescent="0.35">
      <c r="C27" s="18"/>
      <c r="D27" s="18" t="s">
        <v>100</v>
      </c>
      <c r="E27" s="18"/>
      <c r="F27" s="30">
        <f>F26-10-5</f>
        <v>140</v>
      </c>
      <c r="G27" s="18" t="s">
        <v>23</v>
      </c>
      <c r="H27" s="2"/>
      <c r="I27" t="e" vm="1">
        <v>#VALUE!</v>
      </c>
    </row>
    <row r="28" spans="3:9" ht="18" x14ac:dyDescent="0.25">
      <c r="C28" s="18" t="s">
        <v>1</v>
      </c>
      <c r="D28" s="18"/>
      <c r="E28" s="18"/>
      <c r="F28" s="21">
        <v>25</v>
      </c>
      <c r="G28" s="18" t="s">
        <v>37</v>
      </c>
      <c r="H28" s="54" t="s">
        <v>33</v>
      </c>
      <c r="I28" s="54"/>
    </row>
    <row r="29" spans="3:9" ht="18" x14ac:dyDescent="0.25">
      <c r="C29" s="18" t="s">
        <v>2</v>
      </c>
      <c r="D29" s="18"/>
      <c r="E29" s="18"/>
      <c r="F29" s="21">
        <v>11.1</v>
      </c>
      <c r="G29" s="18" t="s">
        <v>37</v>
      </c>
      <c r="H29" s="54" t="s">
        <v>34</v>
      </c>
      <c r="I29" s="54"/>
    </row>
    <row r="30" spans="3:9" ht="18" x14ac:dyDescent="0.25">
      <c r="C30" s="18"/>
      <c r="D30" s="18"/>
      <c r="E30" s="18"/>
      <c r="F30" s="31"/>
      <c r="G30" s="18"/>
      <c r="H30" s="6"/>
      <c r="I30" s="6"/>
    </row>
    <row r="31" spans="3:9" ht="21" x14ac:dyDescent="0.35">
      <c r="C31" s="18" t="s">
        <v>36</v>
      </c>
      <c r="D31" s="18" t="s">
        <v>101</v>
      </c>
      <c r="E31" s="18"/>
      <c r="F31" s="22">
        <f>(0.082*F7*(8^-0.3))/(2.5*(COS(RADIANS(F18)))^2+(SIN(RADIANS(F18)))^2)</f>
        <v>18.675652584694909</v>
      </c>
      <c r="G31" s="18" t="s">
        <v>38</v>
      </c>
      <c r="H31" s="54" t="s">
        <v>34</v>
      </c>
      <c r="I31" s="54"/>
    </row>
    <row r="32" spans="3:9" ht="21" x14ac:dyDescent="0.35">
      <c r="C32" s="18" t="s">
        <v>36</v>
      </c>
      <c r="D32" s="18" t="s">
        <v>102</v>
      </c>
      <c r="E32" s="18"/>
      <c r="F32" s="22">
        <f>(0.082*F8*(8^-0.3))/(2.5*(COS(RADIANS(F21)))^2+(SIN(RADIANS(F21)))^2)</f>
        <v>9.3075065893808215</v>
      </c>
      <c r="G32" s="18" t="s">
        <v>38</v>
      </c>
      <c r="H32" s="54" t="s">
        <v>34</v>
      </c>
      <c r="I32" s="54"/>
    </row>
    <row r="33" spans="3:12" ht="18" x14ac:dyDescent="0.25">
      <c r="C33" s="18"/>
      <c r="D33" s="18"/>
      <c r="E33" s="18"/>
      <c r="F33" s="31"/>
      <c r="G33" s="18"/>
      <c r="H33" s="2"/>
    </row>
    <row r="34" spans="3:12" ht="21" x14ac:dyDescent="0.35">
      <c r="C34" s="18" t="s">
        <v>35</v>
      </c>
      <c r="D34" s="18" t="s">
        <v>103</v>
      </c>
      <c r="E34" s="18"/>
      <c r="F34" s="30">
        <v>25000</v>
      </c>
      <c r="G34" s="18" t="s">
        <v>39</v>
      </c>
      <c r="H34" s="54" t="s">
        <v>34</v>
      </c>
      <c r="I34" s="54"/>
    </row>
    <row r="35" spans="3:12" ht="18" x14ac:dyDescent="0.25">
      <c r="C35" s="18"/>
      <c r="D35" s="18"/>
      <c r="E35" s="18"/>
      <c r="F35" s="30"/>
      <c r="G35" s="18"/>
      <c r="H35" s="6"/>
      <c r="I35" s="6"/>
    </row>
    <row r="36" spans="3:12" ht="18" x14ac:dyDescent="0.25">
      <c r="C36" s="18"/>
      <c r="D36" s="18"/>
      <c r="E36" s="18"/>
      <c r="F36" s="18"/>
      <c r="G36" s="18"/>
      <c r="H36" s="2"/>
      <c r="L36" s="1"/>
    </row>
    <row r="37" spans="3:12" ht="22.5" x14ac:dyDescent="0.4">
      <c r="C37" s="18" t="s">
        <v>42</v>
      </c>
      <c r="D37" s="18" t="s">
        <v>104</v>
      </c>
      <c r="E37" s="20" t="s">
        <v>105</v>
      </c>
      <c r="F37" s="22">
        <f>MIN(F28,F19*F29*8*F25*((F7/350)^0.8)/1000)*1000</f>
        <v>14209.87447350505</v>
      </c>
      <c r="G37" s="18" t="s">
        <v>40</v>
      </c>
      <c r="H37" s="54" t="s">
        <v>34</v>
      </c>
      <c r="I37" s="54"/>
    </row>
    <row r="38" spans="3:12" ht="22.5" x14ac:dyDescent="0.4">
      <c r="C38" s="18" t="s">
        <v>43</v>
      </c>
      <c r="D38" s="18" t="s">
        <v>106</v>
      </c>
      <c r="E38" s="20" t="s">
        <v>105</v>
      </c>
      <c r="F38" s="22">
        <f>MIN(F28,F22*F29*8*F27*((F8/350)^0.8)/1000)*1000</f>
        <v>12262.211224500705</v>
      </c>
      <c r="G38" s="18" t="s">
        <v>40</v>
      </c>
      <c r="H38" s="54" t="s">
        <v>34</v>
      </c>
      <c r="I38" s="54"/>
    </row>
    <row r="39" spans="3:12" ht="18" x14ac:dyDescent="0.25">
      <c r="C39" s="18"/>
      <c r="D39" s="18"/>
      <c r="E39" s="18"/>
      <c r="F39" s="22"/>
      <c r="G39" s="18"/>
      <c r="H39" s="2"/>
    </row>
    <row r="40" spans="3:12" ht="21" x14ac:dyDescent="0.35">
      <c r="C40" s="18" t="s">
        <v>41</v>
      </c>
      <c r="D40" s="18" t="s">
        <v>107</v>
      </c>
      <c r="E40" s="18"/>
      <c r="F40" s="22">
        <f>MIN(F31*F25*8,F31*F25*8*(SQRT(2+(4*F34)/(F31*8*F25^2))-1)+F37*1/4,2.3*SQRT(F34*F31*8)+F37*1/4)</f>
        <v>7997.5603423575803</v>
      </c>
      <c r="G40" s="18" t="s">
        <v>40</v>
      </c>
      <c r="H40" s="54" t="s">
        <v>78</v>
      </c>
      <c r="I40" s="54"/>
    </row>
    <row r="41" spans="3:12" ht="21" x14ac:dyDescent="0.35">
      <c r="C41" s="18" t="s">
        <v>44</v>
      </c>
      <c r="D41" s="18" t="s">
        <v>108</v>
      </c>
      <c r="E41" s="18"/>
      <c r="F41" s="22">
        <f>MIN(F32*F27*8,F32*F27*8*(SQRT(2+(4*F34)/(F32*8*F27^2))-1)+F38*1/4,2.3*SQRT(F34*F32*8)+F38*1/4)</f>
        <v>6203.6002837081569</v>
      </c>
      <c r="G41" s="18" t="s">
        <v>40</v>
      </c>
      <c r="H41" s="54" t="s">
        <v>78</v>
      </c>
      <c r="I41" s="54"/>
    </row>
    <row r="42" spans="3:12" x14ac:dyDescent="0.25">
      <c r="C42" s="8"/>
      <c r="D42" s="8"/>
      <c r="E42" s="8"/>
      <c r="F42" s="9"/>
      <c r="G42" s="2"/>
      <c r="H42" s="6"/>
      <c r="I42" s="6"/>
    </row>
    <row r="43" spans="3:12" x14ac:dyDescent="0.25">
      <c r="C43" s="8"/>
      <c r="D43" s="8"/>
      <c r="E43" s="8"/>
      <c r="F43" s="9"/>
      <c r="G43" s="2"/>
      <c r="H43" s="6"/>
      <c r="I43" s="6"/>
    </row>
    <row r="44" spans="3:12" x14ac:dyDescent="0.25">
      <c r="C44" s="8"/>
      <c r="D44" s="8"/>
      <c r="E44" s="8"/>
      <c r="F44" s="9"/>
      <c r="G44" s="2"/>
      <c r="H44" s="6"/>
      <c r="I44" s="6"/>
    </row>
    <row r="45" spans="3:12" x14ac:dyDescent="0.25">
      <c r="C45" s="8"/>
      <c r="D45" s="8"/>
      <c r="E45" s="8"/>
      <c r="F45" s="9"/>
      <c r="G45" s="2"/>
      <c r="H45" s="6"/>
      <c r="I45" s="6"/>
    </row>
    <row r="46" spans="3:12" x14ac:dyDescent="0.25">
      <c r="C46" s="8"/>
      <c r="D46" s="8"/>
      <c r="F46" s="9"/>
      <c r="G46" s="2"/>
      <c r="H46" s="6"/>
      <c r="I46" s="6"/>
    </row>
    <row r="47" spans="3:12" x14ac:dyDescent="0.25">
      <c r="C47" s="8"/>
      <c r="D47" s="8"/>
      <c r="E47" s="8"/>
      <c r="F47" s="9"/>
      <c r="G47" s="2"/>
      <c r="H47" s="6"/>
      <c r="I47" s="6"/>
    </row>
    <row r="48" spans="3:12" x14ac:dyDescent="0.25">
      <c r="C48" s="8"/>
      <c r="D48" s="8"/>
      <c r="E48" s="8"/>
      <c r="F48" s="9"/>
      <c r="G48" s="2"/>
      <c r="H48" s="6"/>
      <c r="I48" s="6"/>
    </row>
    <row r="49" spans="3:9" x14ac:dyDescent="0.25">
      <c r="C49" s="8"/>
      <c r="D49" s="8"/>
      <c r="E49" s="8"/>
      <c r="F49" s="9"/>
      <c r="G49" s="2"/>
      <c r="H49" s="6"/>
      <c r="I49" s="6"/>
    </row>
    <row r="50" spans="3:9" x14ac:dyDescent="0.25">
      <c r="C50" s="8"/>
      <c r="D50" s="8"/>
      <c r="E50" s="8"/>
      <c r="F50" s="9"/>
      <c r="G50" s="2"/>
      <c r="H50" s="6"/>
      <c r="I50" s="6"/>
    </row>
    <row r="51" spans="3:9" x14ac:dyDescent="0.25">
      <c r="C51" s="8"/>
      <c r="D51" s="8"/>
      <c r="E51" s="8"/>
      <c r="F51" s="9"/>
      <c r="G51" s="2"/>
      <c r="H51" s="6"/>
      <c r="I51" s="6"/>
    </row>
    <row r="52" spans="3:9" x14ac:dyDescent="0.25">
      <c r="C52" s="8"/>
      <c r="D52" s="8"/>
      <c r="E52" s="8"/>
      <c r="F52" s="9"/>
      <c r="G52" s="2"/>
      <c r="H52" s="6"/>
      <c r="I52" s="6"/>
    </row>
    <row r="53" spans="3:9" x14ac:dyDescent="0.25">
      <c r="C53" s="8"/>
      <c r="D53" s="8"/>
      <c r="E53" s="8"/>
      <c r="F53" s="9"/>
      <c r="G53" s="2"/>
      <c r="H53" s="6"/>
      <c r="I53" s="6"/>
    </row>
    <row r="54" spans="3:9" x14ac:dyDescent="0.25">
      <c r="C54" s="8"/>
      <c r="D54" s="8"/>
      <c r="E54" s="8"/>
      <c r="F54" s="9"/>
      <c r="G54" s="2"/>
      <c r="H54" s="6"/>
      <c r="I54" s="6"/>
    </row>
    <row r="55" spans="3:9" ht="20.25" x14ac:dyDescent="0.25">
      <c r="C55" s="33" t="s">
        <v>46</v>
      </c>
      <c r="D55" s="8"/>
      <c r="E55" s="8"/>
      <c r="F55" s="8"/>
      <c r="G55" s="2"/>
      <c r="H55" s="2"/>
    </row>
    <row r="56" spans="3:9" ht="18" x14ac:dyDescent="0.25">
      <c r="C56" s="18" t="s">
        <v>5</v>
      </c>
      <c r="D56" s="18"/>
      <c r="E56" s="34" t="s">
        <v>45</v>
      </c>
      <c r="F56" s="48">
        <v>280</v>
      </c>
      <c r="G56" s="18"/>
      <c r="H56" s="2"/>
    </row>
    <row r="57" spans="3:9" ht="18" x14ac:dyDescent="0.25">
      <c r="C57" s="18" t="s">
        <v>6</v>
      </c>
      <c r="D57" s="18"/>
      <c r="E57" s="20" t="s">
        <v>13</v>
      </c>
      <c r="F57" s="18">
        <f>IF(F56=210,6,8)</f>
        <v>8</v>
      </c>
      <c r="G57" s="18"/>
      <c r="H57" s="2"/>
    </row>
    <row r="58" spans="3:9" ht="18" x14ac:dyDescent="0.25">
      <c r="C58" s="18"/>
      <c r="D58" s="18"/>
      <c r="E58" s="18"/>
      <c r="F58" s="18"/>
      <c r="G58" s="18"/>
      <c r="H58" s="2"/>
    </row>
    <row r="59" spans="3:9" ht="18" x14ac:dyDescent="0.25">
      <c r="C59" s="18" t="s">
        <v>49</v>
      </c>
      <c r="D59" s="18"/>
      <c r="E59" s="20" t="s">
        <v>50</v>
      </c>
      <c r="F59" s="49">
        <v>0</v>
      </c>
      <c r="G59" s="18"/>
      <c r="H59" s="2"/>
    </row>
    <row r="60" spans="3:9" ht="18.75" x14ac:dyDescent="0.3">
      <c r="C60" s="28" t="s">
        <v>47</v>
      </c>
      <c r="D60" s="18"/>
      <c r="E60" s="20" t="s">
        <v>48</v>
      </c>
      <c r="F60" s="23">
        <f>IF(90-F59-55&lt;1,(90-F59-55)*-1,90-F59-55)</f>
        <v>35</v>
      </c>
      <c r="G60" s="18"/>
      <c r="H60" s="2"/>
    </row>
    <row r="61" spans="3:9" ht="18" x14ac:dyDescent="0.25">
      <c r="C61" s="18"/>
      <c r="D61" s="18"/>
      <c r="E61" s="18"/>
      <c r="F61" s="18"/>
      <c r="G61" s="18"/>
      <c r="H61" s="2"/>
    </row>
    <row r="62" spans="3:9" ht="18" x14ac:dyDescent="0.25">
      <c r="C62" s="18" t="s">
        <v>7</v>
      </c>
      <c r="D62" s="18"/>
      <c r="E62" s="18"/>
      <c r="F62" s="30">
        <v>15</v>
      </c>
      <c r="G62" s="18" t="s">
        <v>23</v>
      </c>
      <c r="H62" s="2"/>
    </row>
    <row r="63" spans="3:9" ht="18" x14ac:dyDescent="0.25">
      <c r="C63" s="18" t="s">
        <v>8</v>
      </c>
      <c r="D63" s="18"/>
      <c r="E63" s="18"/>
      <c r="F63" s="30">
        <v>46.5</v>
      </c>
      <c r="G63" s="18" t="s">
        <v>23</v>
      </c>
      <c r="H63" s="2"/>
    </row>
    <row r="64" spans="3:9" ht="18" x14ac:dyDescent="0.25">
      <c r="C64" s="18" t="s">
        <v>9</v>
      </c>
      <c r="D64" s="18"/>
      <c r="E64" s="18"/>
      <c r="F64" s="30">
        <v>17.5</v>
      </c>
      <c r="G64" s="18" t="s">
        <v>23</v>
      </c>
      <c r="H64" s="2"/>
    </row>
    <row r="65" spans="3:9" ht="18" x14ac:dyDescent="0.25">
      <c r="C65" s="18"/>
      <c r="D65" s="18"/>
      <c r="E65" s="18"/>
      <c r="F65" s="30"/>
      <c r="G65" s="18"/>
      <c r="H65" s="2"/>
    </row>
    <row r="66" spans="3:9" ht="18" x14ac:dyDescent="0.25">
      <c r="C66" s="18"/>
      <c r="D66" s="18"/>
      <c r="E66" s="18"/>
      <c r="F66" s="30"/>
      <c r="G66" s="18"/>
      <c r="H66" s="2"/>
    </row>
    <row r="67" spans="3:9" ht="18" x14ac:dyDescent="0.25">
      <c r="C67" s="18"/>
      <c r="D67" s="18"/>
      <c r="E67" s="18"/>
      <c r="F67" s="30"/>
      <c r="G67" s="18"/>
      <c r="H67" s="2"/>
    </row>
    <row r="68" spans="3:9" ht="18.75" x14ac:dyDescent="0.3">
      <c r="C68" s="28"/>
      <c r="D68" s="28"/>
      <c r="E68" s="28"/>
      <c r="F68" s="28"/>
      <c r="G68" s="28"/>
    </row>
    <row r="69" spans="3:9" ht="18.75" x14ac:dyDescent="0.3">
      <c r="C69" s="28"/>
      <c r="D69" s="28"/>
      <c r="E69" s="28"/>
      <c r="F69" s="28"/>
      <c r="G69" s="28"/>
    </row>
    <row r="70" spans="3:9" ht="20.25" x14ac:dyDescent="0.3">
      <c r="C70" s="33" t="s">
        <v>58</v>
      </c>
      <c r="D70" s="28"/>
      <c r="E70" s="28"/>
      <c r="F70" s="28"/>
      <c r="G70" s="28"/>
    </row>
    <row r="71" spans="3:9" ht="75.75" customHeight="1" x14ac:dyDescent="0.25">
      <c r="C71" s="56" t="s">
        <v>54</v>
      </c>
      <c r="D71" s="56"/>
      <c r="E71" s="27" t="s">
        <v>51</v>
      </c>
      <c r="F71" s="35">
        <f>F12/2+5</f>
        <v>85</v>
      </c>
      <c r="G71" s="36" t="s">
        <v>23</v>
      </c>
      <c r="H71" s="2"/>
    </row>
    <row r="72" spans="3:9" ht="18.75" x14ac:dyDescent="0.3">
      <c r="C72" s="28"/>
      <c r="D72" s="28"/>
      <c r="E72" s="28"/>
      <c r="F72" s="28"/>
      <c r="G72" s="28"/>
    </row>
    <row r="73" spans="3:9" s="38" customFormat="1" ht="64.5" customHeight="1" x14ac:dyDescent="0.3">
      <c r="C73" s="57" t="s">
        <v>59</v>
      </c>
      <c r="D73" s="57"/>
      <c r="E73" s="37"/>
      <c r="F73" s="37"/>
      <c r="G73" s="37"/>
    </row>
    <row r="74" spans="3:9" ht="21" customHeight="1" x14ac:dyDescent="0.25">
      <c r="D74" s="19" t="s">
        <v>81</v>
      </c>
      <c r="E74" s="7"/>
      <c r="F74" s="25">
        <f>IF(F56=210,80,112)</f>
        <v>112</v>
      </c>
      <c r="G74" s="19" t="s">
        <v>23</v>
      </c>
      <c r="H74" s="53" t="s">
        <v>60</v>
      </c>
      <c r="I74" s="53"/>
    </row>
    <row r="75" spans="3:9" ht="21" customHeight="1" x14ac:dyDescent="0.25">
      <c r="D75" s="19" t="s">
        <v>82</v>
      </c>
      <c r="E75" s="7"/>
      <c r="F75" s="25">
        <f>IF(F56=210,48,80)</f>
        <v>80</v>
      </c>
      <c r="G75" s="19" t="s">
        <v>23</v>
      </c>
      <c r="H75" s="53"/>
      <c r="I75" s="53"/>
    </row>
    <row r="76" spans="3:9" ht="21" customHeight="1" x14ac:dyDescent="0.25">
      <c r="D76" s="19" t="s">
        <v>83</v>
      </c>
      <c r="E76" s="7"/>
      <c r="F76" s="25">
        <f>IF(F56=210,16,48)</f>
        <v>48</v>
      </c>
      <c r="G76" s="19" t="s">
        <v>23</v>
      </c>
      <c r="H76" s="53"/>
      <c r="I76" s="53"/>
    </row>
    <row r="77" spans="3:9" ht="21" customHeight="1" x14ac:dyDescent="0.25">
      <c r="D77" s="19" t="s">
        <v>84</v>
      </c>
      <c r="E77" s="7"/>
      <c r="F77" s="25">
        <f>IF(F56=210,0,16)</f>
        <v>16</v>
      </c>
      <c r="G77" s="19" t="s">
        <v>23</v>
      </c>
      <c r="H77" s="53"/>
      <c r="I77" s="53"/>
    </row>
    <row r="78" spans="3:9" ht="21" customHeight="1" x14ac:dyDescent="0.25">
      <c r="D78" s="19" t="s">
        <v>15</v>
      </c>
      <c r="E78" s="7"/>
      <c r="F78" s="26">
        <f>F74^2/F74+F75^2/F74+F76^2/F74+F77^2/F74</f>
        <v>192</v>
      </c>
      <c r="G78" s="18"/>
      <c r="H78" s="2"/>
    </row>
    <row r="81" spans="3:9" ht="16.899999999999999" customHeight="1" x14ac:dyDescent="0.25">
      <c r="D81" s="7"/>
      <c r="E81" s="7"/>
      <c r="F81" s="14"/>
      <c r="G81" s="2"/>
      <c r="H81" s="2"/>
    </row>
    <row r="82" spans="3:9" ht="16.899999999999999" customHeight="1" x14ac:dyDescent="0.25">
      <c r="D82" s="7"/>
      <c r="E82" s="7"/>
      <c r="F82" s="14"/>
      <c r="G82" s="2"/>
      <c r="H82" s="2"/>
    </row>
    <row r="83" spans="3:9" ht="64.5" customHeight="1" x14ac:dyDescent="0.25">
      <c r="C83" s="56" t="s">
        <v>56</v>
      </c>
      <c r="D83" s="56"/>
      <c r="E83" s="27" t="s">
        <v>55</v>
      </c>
      <c r="F83" s="35">
        <f>F56/8</f>
        <v>35</v>
      </c>
      <c r="G83" s="36" t="s">
        <v>23</v>
      </c>
      <c r="H83" s="53" t="s">
        <v>61</v>
      </c>
      <c r="I83" s="53"/>
    </row>
    <row r="84" spans="3:9" ht="18" x14ac:dyDescent="0.25">
      <c r="C84" s="18" t="s">
        <v>12</v>
      </c>
      <c r="D84" s="18"/>
      <c r="E84" s="27" t="s">
        <v>57</v>
      </c>
      <c r="F84" s="30">
        <f>F83/2</f>
        <v>17.5</v>
      </c>
      <c r="G84" s="18" t="s">
        <v>23</v>
      </c>
      <c r="H84" s="53"/>
      <c r="I84" s="53"/>
    </row>
    <row r="85" spans="3:9" ht="18" x14ac:dyDescent="0.25">
      <c r="C85" s="18"/>
      <c r="D85" s="18"/>
      <c r="E85" s="27"/>
      <c r="F85" s="30"/>
      <c r="G85" s="18"/>
      <c r="H85" s="17"/>
      <c r="I85" s="16"/>
    </row>
    <row r="86" spans="3:9" ht="64.5" customHeight="1" x14ac:dyDescent="0.25">
      <c r="C86" s="57" t="s">
        <v>62</v>
      </c>
      <c r="D86" s="57"/>
      <c r="E86" s="27"/>
      <c r="F86" s="30"/>
      <c r="G86" s="18"/>
      <c r="H86" s="6"/>
      <c r="I86" s="6"/>
    </row>
    <row r="87" spans="3:9" ht="21" x14ac:dyDescent="0.35">
      <c r="D87" s="18" t="s">
        <v>85</v>
      </c>
      <c r="E87" s="8"/>
      <c r="F87" s="21">
        <f>F56-25-F84</f>
        <v>237.5</v>
      </c>
      <c r="G87" s="18" t="s">
        <v>23</v>
      </c>
      <c r="H87" s="53" t="s">
        <v>61</v>
      </c>
      <c r="I87" s="53"/>
    </row>
    <row r="88" spans="3:9" ht="21" x14ac:dyDescent="0.35">
      <c r="D88" s="18" t="s">
        <v>86</v>
      </c>
      <c r="E88" s="8"/>
      <c r="F88" s="21">
        <f>F56-25-F84-1*32</f>
        <v>205.5</v>
      </c>
      <c r="G88" s="18" t="s">
        <v>23</v>
      </c>
      <c r="H88" s="53"/>
      <c r="I88" s="53"/>
    </row>
    <row r="89" spans="3:9" ht="21" x14ac:dyDescent="0.35">
      <c r="D89" s="18" t="s">
        <v>87</v>
      </c>
      <c r="E89" s="8"/>
      <c r="F89" s="21">
        <f>F56-25-F84-2*32</f>
        <v>173.5</v>
      </c>
      <c r="G89" s="18" t="s">
        <v>23</v>
      </c>
      <c r="H89" s="53"/>
      <c r="I89" s="53"/>
    </row>
    <row r="90" spans="3:9" ht="21" x14ac:dyDescent="0.35">
      <c r="D90" s="18" t="s">
        <v>88</v>
      </c>
      <c r="E90" s="8"/>
      <c r="F90" s="21">
        <f>F56-25-F84-3*32</f>
        <v>141.5</v>
      </c>
      <c r="G90" s="18" t="s">
        <v>23</v>
      </c>
      <c r="H90" s="53"/>
      <c r="I90" s="53"/>
    </row>
    <row r="91" spans="3:9" ht="21" x14ac:dyDescent="0.35">
      <c r="D91" s="18" t="s">
        <v>89</v>
      </c>
      <c r="E91" s="8"/>
      <c r="F91" s="21">
        <f>F56-25-F84-4*32</f>
        <v>109.5</v>
      </c>
      <c r="G91" s="18" t="s">
        <v>23</v>
      </c>
      <c r="H91" s="53"/>
      <c r="I91" s="53"/>
    </row>
    <row r="92" spans="3:9" ht="21" x14ac:dyDescent="0.35">
      <c r="D92" s="18" t="s">
        <v>90</v>
      </c>
      <c r="E92" s="8"/>
      <c r="F92" s="21">
        <f>IF(F56-25-F84-5*32&lt;F84,0,F56-25-F84-5*32)</f>
        <v>77.5</v>
      </c>
      <c r="G92" s="18" t="s">
        <v>23</v>
      </c>
      <c r="H92" s="53"/>
      <c r="I92" s="53"/>
    </row>
    <row r="93" spans="3:9" ht="21" x14ac:dyDescent="0.35">
      <c r="D93" s="18" t="s">
        <v>91</v>
      </c>
      <c r="E93" s="8"/>
      <c r="F93" s="21">
        <f>IF(F56=280,F56-25-F84-6*32,0)</f>
        <v>45.5</v>
      </c>
      <c r="G93" s="18" t="s">
        <v>23</v>
      </c>
      <c r="H93" s="53"/>
      <c r="I93" s="53"/>
    </row>
    <row r="94" spans="3:9" ht="21" x14ac:dyDescent="0.35">
      <c r="D94" s="18" t="s">
        <v>92</v>
      </c>
      <c r="E94" s="8"/>
      <c r="F94" s="21">
        <f>IF(F56-25-F84-7*32&lt;F84,0,IF(F56=280,F56-25-F84-7*32,0))</f>
        <v>0</v>
      </c>
      <c r="G94" s="18" t="s">
        <v>23</v>
      </c>
      <c r="H94" s="53"/>
      <c r="I94" s="53"/>
    </row>
    <row r="95" spans="3:9" ht="21" x14ac:dyDescent="0.35">
      <c r="D95" s="18" t="s">
        <v>93</v>
      </c>
      <c r="E95" s="8"/>
      <c r="F95" s="22">
        <f>F87^2/F87+F88^2/F87+F89^2/F87+F90^2/F87+F91^2/F87+F92^2/F87+F93^2/F87+F94^2/F87</f>
        <v>710.85368421052624</v>
      </c>
      <c r="G95" s="18"/>
      <c r="H95" s="2"/>
    </row>
    <row r="96" spans="3:9" x14ac:dyDescent="0.25">
      <c r="C96" s="8"/>
      <c r="D96" s="8"/>
      <c r="E96" s="8"/>
      <c r="F96" s="9"/>
      <c r="G96" s="2"/>
      <c r="H96" s="2"/>
    </row>
    <row r="97" spans="3:9" x14ac:dyDescent="0.25">
      <c r="C97" s="8"/>
      <c r="D97" s="8"/>
      <c r="E97" s="8"/>
      <c r="F97" s="8"/>
      <c r="G97" s="2"/>
      <c r="H97" s="2"/>
    </row>
    <row r="98" spans="3:9" ht="18" x14ac:dyDescent="0.25">
      <c r="C98" s="18" t="s">
        <v>14</v>
      </c>
      <c r="D98" s="8"/>
      <c r="E98" s="8"/>
      <c r="F98" s="23">
        <f>F21-DEGREES(ATAN((F144/F57)/(F38*1.35)))</f>
        <v>14.812014047086517</v>
      </c>
      <c r="G98" s="2"/>
      <c r="H98" s="17" t="s">
        <v>63</v>
      </c>
    </row>
    <row r="99" spans="3:9" x14ac:dyDescent="0.25">
      <c r="C99" s="8"/>
      <c r="D99" s="8"/>
      <c r="E99" s="8"/>
      <c r="F99" s="11"/>
      <c r="G99" s="2"/>
      <c r="H99" s="17"/>
    </row>
    <row r="100" spans="3:9" x14ac:dyDescent="0.25">
      <c r="C100" s="8"/>
      <c r="D100" s="8"/>
      <c r="E100" s="8"/>
      <c r="F100" s="11"/>
      <c r="G100" s="2"/>
      <c r="H100" s="17"/>
    </row>
    <row r="101" spans="3:9" x14ac:dyDescent="0.25">
      <c r="C101" s="8"/>
      <c r="D101" s="8"/>
      <c r="E101" s="8"/>
      <c r="F101" s="11"/>
      <c r="G101" s="2"/>
      <c r="H101" s="17"/>
    </row>
    <row r="102" spans="3:9" x14ac:dyDescent="0.25">
      <c r="C102" s="8"/>
      <c r="D102" s="8"/>
      <c r="E102" s="8"/>
      <c r="F102" s="11"/>
      <c r="G102" s="2"/>
      <c r="H102" s="17"/>
    </row>
    <row r="103" spans="3:9" x14ac:dyDescent="0.25">
      <c r="C103" s="8"/>
      <c r="D103" s="8"/>
      <c r="E103" s="8"/>
      <c r="F103" s="11"/>
      <c r="G103" s="2"/>
      <c r="H103" s="17"/>
    </row>
    <row r="104" spans="3:9" x14ac:dyDescent="0.25">
      <c r="C104" s="8"/>
      <c r="D104" s="8"/>
      <c r="E104" s="8"/>
      <c r="F104" s="11"/>
      <c r="G104" s="2"/>
      <c r="H104" s="17"/>
    </row>
    <row r="105" spans="3:9" x14ac:dyDescent="0.25">
      <c r="C105" s="8"/>
      <c r="D105" s="8"/>
      <c r="E105" s="8"/>
      <c r="F105" s="11"/>
      <c r="G105" s="2"/>
      <c r="H105" s="17"/>
    </row>
    <row r="106" spans="3:9" x14ac:dyDescent="0.25">
      <c r="C106" s="8"/>
      <c r="D106" s="8"/>
      <c r="E106" s="8"/>
      <c r="F106" s="11"/>
      <c r="G106" s="2"/>
      <c r="H106" s="17"/>
    </row>
    <row r="107" spans="3:9" x14ac:dyDescent="0.25">
      <c r="C107" s="8"/>
      <c r="D107" s="8"/>
      <c r="E107" s="8"/>
      <c r="F107" s="11"/>
      <c r="G107" s="2"/>
      <c r="H107" s="17"/>
    </row>
    <row r="108" spans="3:9" x14ac:dyDescent="0.25">
      <c r="C108" s="8"/>
      <c r="D108" s="8"/>
      <c r="E108" s="8"/>
      <c r="F108" s="11"/>
      <c r="G108" s="2"/>
      <c r="H108" s="17"/>
    </row>
    <row r="109" spans="3:9" x14ac:dyDescent="0.25">
      <c r="C109" s="8"/>
      <c r="D109" s="8"/>
      <c r="E109" s="8"/>
      <c r="F109" s="11"/>
      <c r="G109" s="2"/>
      <c r="H109" s="2"/>
    </row>
    <row r="111" spans="3:9" ht="21" x14ac:dyDescent="0.35">
      <c r="C111" s="18" t="s">
        <v>79</v>
      </c>
      <c r="D111" s="8"/>
      <c r="E111" s="8"/>
      <c r="F111" s="24">
        <f>F15+2*30-2*79/2</f>
        <v>141</v>
      </c>
      <c r="G111" s="2"/>
      <c r="H111" s="53" t="s">
        <v>64</v>
      </c>
      <c r="I111" s="53"/>
    </row>
    <row r="112" spans="3:9" ht="21" x14ac:dyDescent="0.35">
      <c r="C112" s="18" t="s">
        <v>80</v>
      </c>
      <c r="D112" s="8"/>
      <c r="E112" s="8"/>
      <c r="F112" s="24">
        <f>F15-2*49/2</f>
        <v>111</v>
      </c>
      <c r="G112" s="2"/>
      <c r="H112" s="53"/>
      <c r="I112" s="53"/>
    </row>
    <row r="113" spans="3:9" x14ac:dyDescent="0.25">
      <c r="C113" s="8"/>
      <c r="D113" s="8"/>
      <c r="E113" s="8"/>
      <c r="F113" s="10"/>
      <c r="G113" s="2"/>
      <c r="H113" s="15"/>
      <c r="I113" s="15"/>
    </row>
    <row r="114" spans="3:9" x14ac:dyDescent="0.25">
      <c r="C114" s="8"/>
      <c r="D114" s="8"/>
      <c r="E114" s="8"/>
      <c r="F114" s="10"/>
      <c r="G114" s="2"/>
      <c r="H114" s="15"/>
      <c r="I114" s="15"/>
    </row>
    <row r="115" spans="3:9" x14ac:dyDescent="0.25">
      <c r="C115" s="8"/>
      <c r="D115" s="8"/>
      <c r="E115" s="8"/>
      <c r="F115" s="10"/>
      <c r="G115" s="2"/>
      <c r="H115" s="15"/>
      <c r="I115" s="15"/>
    </row>
    <row r="116" spans="3:9" x14ac:dyDescent="0.25">
      <c r="C116" s="8"/>
      <c r="D116" s="8"/>
      <c r="E116" s="8"/>
      <c r="F116" s="10"/>
      <c r="G116" s="2"/>
      <c r="H116" s="15"/>
      <c r="I116" s="15"/>
    </row>
    <row r="117" spans="3:9" x14ac:dyDescent="0.25">
      <c r="C117" s="8"/>
      <c r="D117" s="8"/>
      <c r="E117" s="8"/>
      <c r="F117" s="10"/>
      <c r="G117" s="2"/>
      <c r="H117" s="15"/>
      <c r="I117" s="15"/>
    </row>
    <row r="118" spans="3:9" x14ac:dyDescent="0.25">
      <c r="C118" s="8"/>
      <c r="D118" s="8"/>
      <c r="E118" s="8"/>
      <c r="F118" s="10"/>
      <c r="G118" s="2"/>
      <c r="H118" s="15"/>
      <c r="I118" s="15"/>
    </row>
    <row r="119" spans="3:9" x14ac:dyDescent="0.25">
      <c r="C119" s="8"/>
      <c r="D119" s="8"/>
      <c r="E119" s="8"/>
      <c r="F119" s="10"/>
      <c r="G119" s="2"/>
      <c r="H119" s="15"/>
      <c r="I119" s="15"/>
    </row>
    <row r="120" spans="3:9" x14ac:dyDescent="0.25">
      <c r="C120" s="8"/>
      <c r="D120" s="8"/>
      <c r="E120" s="8"/>
      <c r="F120" s="10"/>
      <c r="G120" s="2"/>
      <c r="H120" s="15"/>
      <c r="I120" s="15"/>
    </row>
    <row r="121" spans="3:9" x14ac:dyDescent="0.25">
      <c r="C121" s="8"/>
      <c r="D121" s="8"/>
      <c r="E121" s="8"/>
      <c r="F121" s="10"/>
      <c r="G121" s="2"/>
      <c r="H121" s="15"/>
      <c r="I121" s="15"/>
    </row>
    <row r="122" spans="3:9" x14ac:dyDescent="0.25">
      <c r="C122" s="8"/>
      <c r="D122" s="8"/>
      <c r="E122" s="8"/>
      <c r="F122" s="10"/>
      <c r="G122" s="2"/>
      <c r="H122" s="15"/>
      <c r="I122" s="15"/>
    </row>
    <row r="123" spans="3:9" x14ac:dyDescent="0.25">
      <c r="C123" s="8"/>
      <c r="D123" s="8"/>
      <c r="E123" s="8"/>
      <c r="F123" s="10"/>
      <c r="G123" s="2"/>
      <c r="H123" s="15"/>
      <c r="I123" s="15"/>
    </row>
    <row r="124" spans="3:9" ht="23.25" x14ac:dyDescent="0.25">
      <c r="C124" s="33" t="s">
        <v>151</v>
      </c>
      <c r="D124" s="8"/>
      <c r="E124" s="8"/>
      <c r="F124" s="10"/>
      <c r="G124" s="2"/>
      <c r="H124" s="15"/>
      <c r="I124" s="15"/>
    </row>
    <row r="125" spans="3:9" x14ac:dyDescent="0.25">
      <c r="C125" s="8"/>
      <c r="D125" s="8"/>
      <c r="E125" s="8"/>
      <c r="F125" s="10"/>
      <c r="G125" s="2"/>
      <c r="H125" s="15"/>
      <c r="I125" s="15"/>
    </row>
    <row r="126" spans="3:9" x14ac:dyDescent="0.25">
      <c r="C126" s="8"/>
      <c r="D126" s="8"/>
      <c r="E126" s="8"/>
      <c r="F126" s="10"/>
      <c r="G126" s="2"/>
      <c r="H126" s="15"/>
      <c r="I126" s="15"/>
    </row>
    <row r="127" spans="3:9" x14ac:dyDescent="0.25">
      <c r="C127" s="8"/>
      <c r="D127" s="8"/>
      <c r="E127" s="8"/>
      <c r="F127" s="10"/>
      <c r="G127" s="2"/>
      <c r="H127" s="15"/>
      <c r="I127" s="15"/>
    </row>
    <row r="128" spans="3:9" ht="18.75" x14ac:dyDescent="0.25">
      <c r="D128" s="18"/>
      <c r="E128" s="18"/>
      <c r="F128" s="24"/>
      <c r="G128" s="18"/>
      <c r="H128" s="39"/>
      <c r="I128" s="39"/>
    </row>
    <row r="129" spans="3:9" ht="19.5" customHeight="1" x14ac:dyDescent="0.3">
      <c r="C129" s="28"/>
      <c r="D129" s="18"/>
      <c r="E129" s="18"/>
      <c r="F129" s="22"/>
      <c r="G129" s="28"/>
      <c r="H129" s="39"/>
      <c r="I129" s="39"/>
    </row>
    <row r="130" spans="3:9" ht="19.5" customHeight="1" x14ac:dyDescent="0.3">
      <c r="C130" s="28"/>
      <c r="D130" s="18"/>
      <c r="E130" s="18"/>
      <c r="F130" s="22"/>
      <c r="G130" s="28"/>
      <c r="H130" s="39"/>
      <c r="I130" s="39"/>
    </row>
    <row r="131" spans="3:9" ht="19.5" customHeight="1" x14ac:dyDescent="0.3">
      <c r="C131" s="28"/>
      <c r="D131" s="18"/>
      <c r="E131" s="18"/>
      <c r="F131" s="22"/>
      <c r="G131" s="28"/>
      <c r="H131" s="39"/>
      <c r="I131" s="39"/>
    </row>
    <row r="132" spans="3:9" ht="19.5" customHeight="1" x14ac:dyDescent="0.3">
      <c r="C132" s="28"/>
      <c r="D132" s="18"/>
      <c r="E132" s="18"/>
      <c r="F132" s="28"/>
      <c r="G132" s="28"/>
      <c r="I132" s="40" t="s">
        <v>125</v>
      </c>
    </row>
    <row r="133" spans="3:9" ht="19.5" customHeight="1" x14ac:dyDescent="0.3">
      <c r="C133" s="28"/>
      <c r="D133" s="18"/>
      <c r="E133" s="18"/>
      <c r="F133" s="28"/>
      <c r="G133" s="28"/>
      <c r="H133" s="39"/>
      <c r="I133" s="39"/>
    </row>
    <row r="134" spans="3:9" ht="19.5" customHeight="1" x14ac:dyDescent="0.3">
      <c r="C134" s="28"/>
      <c r="D134" s="18"/>
      <c r="E134" s="18"/>
      <c r="F134" s="22"/>
      <c r="G134" s="28"/>
      <c r="H134" s="39"/>
      <c r="I134" s="39"/>
    </row>
    <row r="135" spans="3:9" ht="19.5" customHeight="1" x14ac:dyDescent="0.35">
      <c r="C135" s="18" t="s">
        <v>119</v>
      </c>
      <c r="D135" s="18"/>
      <c r="E135" s="18"/>
      <c r="F135" s="18"/>
      <c r="G135" s="28"/>
      <c r="H135" s="28"/>
      <c r="I135" s="28"/>
    </row>
    <row r="136" spans="3:9" ht="19.5" customHeight="1" x14ac:dyDescent="0.3">
      <c r="C136" s="28"/>
      <c r="D136" s="18"/>
      <c r="E136" s="18" t="s">
        <v>10</v>
      </c>
      <c r="F136" s="22">
        <f>F40*SQRT(1/((F63^2)/(4*((F74^2/F74)+(F75^2/F74)+(F76^2/F74)+(F77^2/F74))^2)+(1/F57^2)))</f>
        <v>45953.356176518144</v>
      </c>
      <c r="G136" s="28" t="s">
        <v>40</v>
      </c>
      <c r="H136" s="40" t="s">
        <v>65</v>
      </c>
      <c r="I136" s="40"/>
    </row>
    <row r="137" spans="3:9" ht="19.5" customHeight="1" x14ac:dyDescent="0.3">
      <c r="C137" s="28"/>
      <c r="D137" s="18"/>
      <c r="E137" s="18" t="s">
        <v>11</v>
      </c>
      <c r="F137" s="22">
        <f>F136*2</f>
        <v>91906.712353036288</v>
      </c>
      <c r="G137" s="28" t="s">
        <v>40</v>
      </c>
      <c r="H137" s="40" t="s">
        <v>121</v>
      </c>
      <c r="I137" s="40"/>
    </row>
    <row r="138" spans="3:9" ht="19.5" customHeight="1" x14ac:dyDescent="0.3">
      <c r="C138" s="28"/>
      <c r="D138" s="18"/>
      <c r="E138" s="18"/>
      <c r="F138" s="22"/>
      <c r="G138" s="28"/>
      <c r="H138" s="39"/>
      <c r="I138" s="39"/>
    </row>
    <row r="139" spans="3:9" ht="19.5" customHeight="1" x14ac:dyDescent="0.3">
      <c r="C139" s="28"/>
      <c r="D139" s="18"/>
      <c r="E139" s="18"/>
      <c r="F139" s="22"/>
      <c r="G139" s="28"/>
      <c r="H139" s="39"/>
      <c r="I139" s="39"/>
    </row>
    <row r="140" spans="3:9" ht="19.5" customHeight="1" x14ac:dyDescent="0.3">
      <c r="C140" s="28"/>
      <c r="D140" s="18"/>
      <c r="E140" s="18"/>
      <c r="F140" s="22"/>
      <c r="G140" s="28"/>
      <c r="H140" s="39"/>
      <c r="I140" s="40" t="s">
        <v>126</v>
      </c>
    </row>
    <row r="141" spans="3:9" ht="19.5" customHeight="1" x14ac:dyDescent="0.3">
      <c r="C141" s="28"/>
      <c r="D141" s="18"/>
      <c r="E141" s="18"/>
      <c r="F141" s="22"/>
      <c r="G141" s="28"/>
      <c r="H141" s="39"/>
      <c r="I141" s="39"/>
    </row>
    <row r="142" spans="3:9" ht="19.5" customHeight="1" x14ac:dyDescent="0.3">
      <c r="C142" s="28"/>
      <c r="D142" s="18"/>
      <c r="E142" s="18"/>
      <c r="F142" s="22"/>
      <c r="G142" s="28"/>
      <c r="H142" s="39"/>
      <c r="I142" s="39"/>
    </row>
    <row r="143" spans="3:9" ht="19.5" customHeight="1" x14ac:dyDescent="0.35">
      <c r="C143" s="18" t="s">
        <v>120</v>
      </c>
      <c r="D143" s="18"/>
      <c r="E143" s="18"/>
      <c r="F143" s="18"/>
      <c r="G143" s="28"/>
      <c r="H143" s="28"/>
      <c r="I143" s="28"/>
    </row>
    <row r="144" spans="3:9" ht="19.5" customHeight="1" x14ac:dyDescent="0.3">
      <c r="C144" s="28"/>
      <c r="D144" s="18"/>
      <c r="E144" s="18" t="s">
        <v>10</v>
      </c>
      <c r="F144" s="22">
        <f>SQRT(1/((1/((F57*(COS(RADIANS(90-F60))+1.25*SIN(RADIANS(90-F60))))^2*F38^2))+(F63^2/(4*(F74^2/F74+F75^2/F74+F76^2/F74+F77^2/F74)^2*F41^2))))</f>
        <v>48693.919286719334</v>
      </c>
      <c r="G144" s="28" t="s">
        <v>40</v>
      </c>
      <c r="H144" s="40" t="s">
        <v>66</v>
      </c>
      <c r="I144" s="40"/>
    </row>
    <row r="145" spans="3:10" ht="19.5" customHeight="1" x14ac:dyDescent="0.3">
      <c r="C145" s="28"/>
      <c r="D145" s="18"/>
      <c r="E145" s="18" t="s">
        <v>11</v>
      </c>
      <c r="F145" s="22">
        <f>2*F144</f>
        <v>97387.838573438668</v>
      </c>
      <c r="G145" s="28" t="s">
        <v>40</v>
      </c>
      <c r="H145" s="40" t="s">
        <v>122</v>
      </c>
      <c r="I145" s="40"/>
    </row>
    <row r="146" spans="3:10" ht="19.5" customHeight="1" x14ac:dyDescent="0.3">
      <c r="C146" s="28"/>
      <c r="D146" s="18"/>
      <c r="E146" s="18"/>
      <c r="F146" s="22"/>
      <c r="G146" s="28"/>
      <c r="H146" s="39"/>
      <c r="I146" s="39"/>
    </row>
    <row r="147" spans="3:10" ht="19.5" customHeight="1" x14ac:dyDescent="0.3">
      <c r="C147" s="28"/>
      <c r="D147" s="18"/>
      <c r="E147" s="18"/>
      <c r="F147" s="22"/>
      <c r="G147" s="28"/>
      <c r="H147" s="39"/>
      <c r="I147" s="39"/>
    </row>
    <row r="148" spans="3:10" ht="19.5" customHeight="1" x14ac:dyDescent="0.3">
      <c r="C148" s="28"/>
      <c r="D148" s="18"/>
      <c r="E148" s="18"/>
      <c r="F148" s="22"/>
      <c r="G148" s="28"/>
      <c r="H148" s="39"/>
      <c r="I148" s="39"/>
    </row>
    <row r="149" spans="3:10" ht="19.5" customHeight="1" x14ac:dyDescent="0.3">
      <c r="C149" s="28"/>
      <c r="D149" s="18"/>
      <c r="E149" s="18"/>
      <c r="F149" s="22"/>
      <c r="G149" s="28"/>
      <c r="I149" s="40" t="s">
        <v>124</v>
      </c>
    </row>
    <row r="150" spans="3:10" ht="19.5" customHeight="1" x14ac:dyDescent="0.3">
      <c r="C150" s="18"/>
      <c r="D150" s="18"/>
      <c r="E150" s="18"/>
      <c r="F150" s="18"/>
      <c r="G150" s="28"/>
      <c r="H150" s="28"/>
      <c r="I150" s="28"/>
    </row>
    <row r="151" spans="3:10" ht="28.5" customHeight="1" thickBot="1" x14ac:dyDescent="0.55000000000000004">
      <c r="C151" s="42" t="s">
        <v>152</v>
      </c>
      <c r="D151" s="42"/>
      <c r="E151" s="42"/>
      <c r="F151" s="43">
        <f>MIN(F137,F145)/1000</f>
        <v>91.906712353036284</v>
      </c>
      <c r="G151" s="43" t="s">
        <v>37</v>
      </c>
      <c r="H151" s="52" t="s">
        <v>123</v>
      </c>
      <c r="I151" s="52"/>
      <c r="J151" s="50"/>
    </row>
    <row r="152" spans="3:10" ht="19.5" customHeight="1" x14ac:dyDescent="0.25">
      <c r="C152" s="18"/>
      <c r="D152" s="18"/>
      <c r="E152" s="18"/>
      <c r="F152" s="22"/>
      <c r="G152" s="22"/>
      <c r="H152" s="39"/>
      <c r="I152" s="39"/>
    </row>
    <row r="153" spans="3:10" ht="19.5" customHeight="1" x14ac:dyDescent="0.25">
      <c r="C153" s="18"/>
      <c r="D153" s="18"/>
      <c r="E153" s="18"/>
      <c r="F153" s="22"/>
      <c r="G153" s="22"/>
      <c r="H153" s="39"/>
      <c r="I153" s="39"/>
    </row>
    <row r="154" spans="3:10" ht="19.5" customHeight="1" x14ac:dyDescent="0.25">
      <c r="C154" s="18"/>
      <c r="D154" s="18"/>
      <c r="E154" s="18"/>
      <c r="F154" s="22"/>
      <c r="G154" s="22"/>
      <c r="H154" s="39"/>
      <c r="I154" s="39"/>
    </row>
    <row r="155" spans="3:10" ht="19.5" customHeight="1" x14ac:dyDescent="0.25">
      <c r="C155" s="18"/>
      <c r="D155" s="18"/>
      <c r="E155" s="18"/>
      <c r="F155" s="22"/>
      <c r="G155" s="22"/>
      <c r="H155" s="39"/>
      <c r="I155" s="39"/>
    </row>
    <row r="156" spans="3:10" ht="19.5" customHeight="1" x14ac:dyDescent="0.25">
      <c r="C156" s="18"/>
      <c r="D156" s="18"/>
      <c r="E156" s="18"/>
      <c r="F156" s="22"/>
      <c r="G156" s="22"/>
      <c r="H156" s="39"/>
      <c r="I156" s="39"/>
    </row>
    <row r="157" spans="3:10" ht="19.5" customHeight="1" x14ac:dyDescent="0.25">
      <c r="C157" s="18"/>
      <c r="D157" s="18"/>
      <c r="E157" s="18"/>
      <c r="F157" s="22"/>
      <c r="G157" s="22"/>
      <c r="H157" s="39"/>
      <c r="I157" s="39"/>
    </row>
    <row r="158" spans="3:10" ht="19.5" customHeight="1" x14ac:dyDescent="0.25">
      <c r="C158" s="18"/>
      <c r="D158" s="18"/>
      <c r="E158" s="18"/>
      <c r="F158" s="22"/>
      <c r="G158" s="22"/>
      <c r="H158" s="39"/>
      <c r="I158" s="40" t="s">
        <v>127</v>
      </c>
    </row>
    <row r="159" spans="3:10" ht="19.5" customHeight="1" x14ac:dyDescent="0.25">
      <c r="C159" s="18"/>
      <c r="E159" s="18"/>
      <c r="F159" s="22"/>
      <c r="G159" s="22"/>
      <c r="H159" s="39"/>
      <c r="I159" s="39"/>
    </row>
    <row r="160" spans="3:10" ht="19.5" customHeight="1" x14ac:dyDescent="0.3">
      <c r="C160" s="18"/>
      <c r="D160" s="18"/>
      <c r="F160" s="18"/>
      <c r="G160" s="28"/>
      <c r="H160" s="40"/>
      <c r="I160" s="40"/>
    </row>
    <row r="161" spans="3:9" ht="19.5" customHeight="1" x14ac:dyDescent="0.3">
      <c r="C161" s="18"/>
      <c r="D161" s="18"/>
      <c r="E161" s="18"/>
      <c r="F161" s="18"/>
      <c r="G161" s="28"/>
      <c r="H161" s="28"/>
      <c r="I161" s="28"/>
    </row>
    <row r="162" spans="3:9" ht="19.5" customHeight="1" x14ac:dyDescent="0.35">
      <c r="C162" s="18" t="s">
        <v>109</v>
      </c>
      <c r="D162" s="18"/>
      <c r="E162" s="18"/>
      <c r="F162" s="22"/>
      <c r="G162" s="28"/>
      <c r="H162" s="28"/>
      <c r="I162" s="28"/>
    </row>
    <row r="163" spans="3:9" ht="19.5" customHeight="1" x14ac:dyDescent="0.3">
      <c r="C163" s="28"/>
      <c r="D163" s="18"/>
      <c r="E163" s="18" t="s">
        <v>10</v>
      </c>
      <c r="F163" s="22">
        <f>SQRT(1/(((((F63^2)/(4*F78^2))+(1/F57^2))/F40^2)+(((1.35^2)*(F71^2))/((F95^2)*(F37^2)))))</f>
        <v>40736.608298302723</v>
      </c>
      <c r="G163" s="28" t="s">
        <v>40</v>
      </c>
      <c r="H163" s="40" t="s">
        <v>67</v>
      </c>
      <c r="I163" s="40"/>
    </row>
    <row r="164" spans="3:9" ht="19.5" customHeight="1" x14ac:dyDescent="0.3">
      <c r="C164" s="28"/>
      <c r="D164" s="18"/>
      <c r="E164" s="18" t="s">
        <v>11</v>
      </c>
      <c r="F164" s="22">
        <f>2*F163</f>
        <v>81473.216596605445</v>
      </c>
      <c r="G164" s="28" t="s">
        <v>40</v>
      </c>
      <c r="H164" s="40" t="s">
        <v>128</v>
      </c>
      <c r="I164" s="40"/>
    </row>
    <row r="165" spans="3:9" ht="19.5" customHeight="1" x14ac:dyDescent="0.3">
      <c r="C165" s="28"/>
      <c r="E165" s="18"/>
      <c r="F165" s="22"/>
      <c r="G165" s="28"/>
      <c r="H165" s="39"/>
      <c r="I165" s="39"/>
    </row>
    <row r="166" spans="3:9" ht="19.5" customHeight="1" x14ac:dyDescent="0.3">
      <c r="C166" s="28"/>
      <c r="D166" s="18"/>
      <c r="E166" s="18"/>
      <c r="F166" s="22"/>
      <c r="G166" s="28"/>
      <c r="H166" s="39"/>
      <c r="I166" s="39"/>
    </row>
    <row r="167" spans="3:9" ht="19.5" customHeight="1" x14ac:dyDescent="0.3">
      <c r="C167" s="28"/>
      <c r="D167" s="18"/>
      <c r="E167" s="18"/>
      <c r="F167" s="22"/>
      <c r="G167" s="28"/>
      <c r="H167" s="39"/>
      <c r="I167" s="39"/>
    </row>
    <row r="168" spans="3:9" ht="19.5" customHeight="1" x14ac:dyDescent="0.3">
      <c r="C168" s="28"/>
      <c r="D168" s="18"/>
      <c r="E168" s="18"/>
      <c r="F168" s="22"/>
      <c r="G168" s="28"/>
      <c r="H168" s="39"/>
      <c r="I168" s="40" t="s">
        <v>129</v>
      </c>
    </row>
    <row r="169" spans="3:9" ht="19.5" customHeight="1" x14ac:dyDescent="0.3">
      <c r="C169" s="28"/>
      <c r="D169" s="18"/>
      <c r="E169" s="18"/>
      <c r="F169" s="22"/>
      <c r="G169" s="28"/>
      <c r="H169" s="39"/>
    </row>
    <row r="170" spans="3:9" ht="19.5" customHeight="1" x14ac:dyDescent="0.3">
      <c r="C170" s="28"/>
      <c r="D170" s="18"/>
      <c r="E170" s="18"/>
      <c r="F170" s="22"/>
      <c r="G170" s="28"/>
      <c r="H170" s="39"/>
      <c r="I170" s="39"/>
    </row>
    <row r="171" spans="3:9" ht="19.5" customHeight="1" x14ac:dyDescent="0.3">
      <c r="C171" s="18"/>
      <c r="D171" s="18"/>
      <c r="E171" s="18"/>
      <c r="F171" s="18"/>
      <c r="G171" s="28"/>
      <c r="H171" s="28"/>
      <c r="I171" s="28"/>
    </row>
    <row r="172" spans="3:9" ht="19.5" customHeight="1" x14ac:dyDescent="0.35">
      <c r="C172" s="18" t="s">
        <v>110</v>
      </c>
      <c r="D172" s="18"/>
      <c r="E172" s="18"/>
      <c r="F172" s="18"/>
      <c r="G172" s="28"/>
      <c r="H172" s="28"/>
      <c r="I172" s="28"/>
    </row>
    <row r="173" spans="3:9" ht="19.5" customHeight="1" x14ac:dyDescent="0.3">
      <c r="C173" s="28"/>
      <c r="D173" s="18"/>
      <c r="E173" s="18" t="s">
        <v>10</v>
      </c>
      <c r="F173" s="22">
        <f>SQRT(1/((((1/F57^2)+((1.35^2*F71^2)/F95^2))/((F38^2)*(COS(RADIANS(F98)))^2)+(F63^2)/(4*(F78^2)*F41^2))))</f>
        <v>38415.209006445999</v>
      </c>
      <c r="G173" s="28" t="s">
        <v>40</v>
      </c>
      <c r="H173" s="40" t="s">
        <v>68</v>
      </c>
      <c r="I173" s="40"/>
    </row>
    <row r="174" spans="3:9" ht="19.5" customHeight="1" x14ac:dyDescent="0.3">
      <c r="C174" s="28"/>
      <c r="D174" s="18"/>
      <c r="E174" s="18" t="s">
        <v>11</v>
      </c>
      <c r="F174" s="22">
        <f>2*F173</f>
        <v>76830.418012891998</v>
      </c>
      <c r="G174" s="28" t="s">
        <v>40</v>
      </c>
      <c r="H174" s="40" t="s">
        <v>130</v>
      </c>
      <c r="I174" s="40"/>
    </row>
    <row r="175" spans="3:9" ht="19.5" customHeight="1" x14ac:dyDescent="0.3">
      <c r="C175" s="28"/>
      <c r="D175" s="18"/>
      <c r="E175" s="18"/>
      <c r="F175" s="22"/>
      <c r="G175" s="28"/>
      <c r="H175" s="39"/>
      <c r="I175" s="39"/>
    </row>
    <row r="176" spans="3:9" ht="19.5" customHeight="1" x14ac:dyDescent="0.3">
      <c r="C176" s="28"/>
      <c r="E176" s="18"/>
      <c r="F176" s="22"/>
      <c r="G176" s="28"/>
      <c r="H176" s="39"/>
      <c r="I176" s="39"/>
    </row>
    <row r="177" spans="3:10" ht="19.5" customHeight="1" x14ac:dyDescent="0.3">
      <c r="C177" s="28"/>
      <c r="D177" s="18"/>
      <c r="E177" s="18"/>
      <c r="F177" s="22"/>
      <c r="G177" s="28"/>
      <c r="H177" s="39"/>
      <c r="I177" s="40" t="s">
        <v>131</v>
      </c>
    </row>
    <row r="178" spans="3:10" ht="19.5" customHeight="1" x14ac:dyDescent="0.3">
      <c r="C178" s="28"/>
      <c r="D178" s="18"/>
      <c r="E178" s="18"/>
      <c r="F178" s="22"/>
      <c r="G178" s="28"/>
      <c r="H178" s="39"/>
      <c r="I178" s="39"/>
    </row>
    <row r="179" spans="3:10" ht="19.5" customHeight="1" x14ac:dyDescent="0.3">
      <c r="C179" s="18"/>
      <c r="D179" s="18"/>
      <c r="E179" s="18"/>
      <c r="F179" s="18"/>
      <c r="G179" s="28"/>
      <c r="H179" s="28"/>
      <c r="I179" s="28"/>
    </row>
    <row r="180" spans="3:10" ht="28.5" customHeight="1" thickBot="1" x14ac:dyDescent="0.55000000000000004">
      <c r="C180" s="42" t="s">
        <v>153</v>
      </c>
      <c r="D180" s="42"/>
      <c r="E180" s="42"/>
      <c r="F180" s="43">
        <f>MIN(F174,F164)/1000</f>
        <v>76.830418012891997</v>
      </c>
      <c r="G180" s="43" t="s">
        <v>37</v>
      </c>
      <c r="H180" s="52" t="s">
        <v>69</v>
      </c>
      <c r="I180" s="52"/>
      <c r="J180" s="50"/>
    </row>
    <row r="181" spans="3:10" ht="19.5" customHeight="1" x14ac:dyDescent="0.25">
      <c r="C181" s="18"/>
      <c r="D181" s="18"/>
      <c r="E181" s="18"/>
      <c r="F181" s="22"/>
      <c r="G181" s="22"/>
      <c r="H181" s="39"/>
      <c r="I181" s="39"/>
    </row>
    <row r="182" spans="3:10" ht="19.5" customHeight="1" x14ac:dyDescent="0.25">
      <c r="C182" s="18"/>
      <c r="D182" s="18"/>
      <c r="E182" s="18"/>
      <c r="F182" s="22"/>
      <c r="G182" s="22"/>
      <c r="H182" s="39"/>
      <c r="I182" s="39"/>
    </row>
    <row r="183" spans="3:10" ht="19.5" customHeight="1" x14ac:dyDescent="0.25">
      <c r="C183" s="18"/>
      <c r="D183" s="18"/>
      <c r="E183" s="18"/>
      <c r="F183" s="22"/>
      <c r="G183" s="22"/>
      <c r="H183" s="39"/>
      <c r="I183" s="39"/>
    </row>
    <row r="184" spans="3:10" ht="19.5" customHeight="1" x14ac:dyDescent="0.3">
      <c r="C184" s="18"/>
      <c r="D184" s="18"/>
      <c r="E184" s="18"/>
      <c r="F184" s="18"/>
      <c r="G184" s="28"/>
      <c r="H184" s="28"/>
      <c r="I184" s="28"/>
    </row>
    <row r="185" spans="3:10" ht="19.5" customHeight="1" x14ac:dyDescent="0.3">
      <c r="C185" s="18"/>
      <c r="D185" s="18"/>
      <c r="E185" s="18"/>
      <c r="F185" s="18"/>
      <c r="G185" s="28"/>
      <c r="H185" s="28"/>
      <c r="I185" s="28"/>
    </row>
    <row r="186" spans="3:10" ht="19.5" customHeight="1" x14ac:dyDescent="0.3">
      <c r="C186" s="18"/>
      <c r="D186" s="18"/>
      <c r="E186" s="18"/>
      <c r="F186" s="18"/>
      <c r="G186" s="28"/>
      <c r="H186" s="28"/>
      <c r="I186" s="28"/>
    </row>
    <row r="187" spans="3:10" ht="19.5" customHeight="1" x14ac:dyDescent="0.3">
      <c r="C187" s="18"/>
      <c r="D187" s="18"/>
      <c r="E187" s="18"/>
      <c r="F187" s="18"/>
      <c r="G187" s="28"/>
      <c r="H187" s="28"/>
      <c r="I187" s="28"/>
    </row>
    <row r="188" spans="3:10" ht="19.5" customHeight="1" x14ac:dyDescent="0.3">
      <c r="C188" s="18"/>
      <c r="D188" s="18"/>
      <c r="E188" s="18"/>
      <c r="F188" s="18"/>
      <c r="G188" s="28"/>
      <c r="H188" s="28"/>
      <c r="I188" s="40" t="s">
        <v>125</v>
      </c>
    </row>
    <row r="189" spans="3:10" ht="19.5" customHeight="1" x14ac:dyDescent="0.3">
      <c r="C189" s="18"/>
      <c r="D189" s="18"/>
      <c r="E189" s="18"/>
      <c r="F189" s="18"/>
      <c r="G189" s="28"/>
      <c r="H189" s="28"/>
      <c r="I189" s="28"/>
    </row>
    <row r="190" spans="3:10" ht="19.5" customHeight="1" x14ac:dyDescent="0.3">
      <c r="C190" s="18"/>
      <c r="D190" s="18"/>
      <c r="E190" s="18"/>
      <c r="F190" s="18"/>
      <c r="G190" s="28"/>
      <c r="H190" s="28"/>
      <c r="I190" s="28"/>
    </row>
    <row r="191" spans="3:10" ht="19.5" customHeight="1" x14ac:dyDescent="0.3">
      <c r="C191" s="18"/>
      <c r="D191" s="18"/>
      <c r="E191" s="18"/>
      <c r="F191" s="18"/>
      <c r="G191" s="28"/>
      <c r="H191" s="28"/>
      <c r="I191" s="28"/>
    </row>
    <row r="192" spans="3:10" ht="19.5" customHeight="1" x14ac:dyDescent="0.35">
      <c r="C192" s="18" t="s">
        <v>111</v>
      </c>
      <c r="D192" s="18"/>
      <c r="E192" s="18"/>
      <c r="F192" s="18"/>
      <c r="G192" s="28"/>
      <c r="H192" s="28"/>
      <c r="I192" s="28"/>
    </row>
    <row r="193" spans="3:9" ht="19.5" customHeight="1" x14ac:dyDescent="0.3">
      <c r="C193" s="28"/>
      <c r="D193" s="18"/>
      <c r="E193" s="18" t="s">
        <v>10</v>
      </c>
      <c r="F193" s="22">
        <f>F40*SQRT(1/((F63^2)/(4*((F74^2/F74)+(F75^2/F74)+(F76^2/F74)+(F77^2/F74))^2)+(1/F57^2)))</f>
        <v>45953.356176518144</v>
      </c>
      <c r="G193" s="28" t="s">
        <v>40</v>
      </c>
      <c r="H193" s="40" t="s">
        <v>132</v>
      </c>
      <c r="I193" s="40"/>
    </row>
    <row r="194" spans="3:9" ht="19.5" customHeight="1" x14ac:dyDescent="0.3">
      <c r="C194" s="28"/>
      <c r="D194" s="18"/>
      <c r="E194" s="18" t="s">
        <v>11</v>
      </c>
      <c r="F194" s="22">
        <f>2*F193</f>
        <v>91906.712353036288</v>
      </c>
      <c r="G194" s="28" t="s">
        <v>40</v>
      </c>
      <c r="H194" s="40" t="s">
        <v>133</v>
      </c>
      <c r="I194" s="40"/>
    </row>
    <row r="195" spans="3:9" ht="19.5" customHeight="1" x14ac:dyDescent="0.3">
      <c r="C195" s="28"/>
      <c r="D195" s="18"/>
      <c r="E195" s="18"/>
      <c r="F195" s="22"/>
      <c r="G195" s="28"/>
      <c r="H195" s="39"/>
      <c r="I195" s="39"/>
    </row>
    <row r="196" spans="3:9" ht="19.5" customHeight="1" x14ac:dyDescent="0.3">
      <c r="C196" s="28"/>
      <c r="D196" s="18"/>
      <c r="E196" s="18"/>
      <c r="F196" s="22"/>
      <c r="G196" s="28"/>
      <c r="H196" s="39"/>
      <c r="I196" s="39"/>
    </row>
    <row r="197" spans="3:9" ht="19.5" customHeight="1" x14ac:dyDescent="0.3">
      <c r="C197" s="28"/>
      <c r="D197" s="18"/>
      <c r="E197" s="18"/>
      <c r="F197" s="22"/>
      <c r="G197" s="28"/>
      <c r="H197" s="39"/>
      <c r="I197" s="39"/>
    </row>
    <row r="198" spans="3:9" ht="19.5" customHeight="1" x14ac:dyDescent="0.3">
      <c r="C198" s="28"/>
      <c r="D198" s="18"/>
      <c r="E198" s="18"/>
      <c r="F198" s="22"/>
      <c r="G198" s="28"/>
      <c r="H198" s="39"/>
      <c r="I198" s="40" t="s">
        <v>136</v>
      </c>
    </row>
    <row r="199" spans="3:9" ht="19.5" customHeight="1" x14ac:dyDescent="0.3">
      <c r="C199" s="28"/>
      <c r="D199" s="18"/>
      <c r="E199" s="18"/>
      <c r="F199" s="22"/>
      <c r="G199" s="28"/>
      <c r="H199" s="39"/>
      <c r="I199" s="39"/>
    </row>
    <row r="200" spans="3:9" ht="19.5" customHeight="1" x14ac:dyDescent="0.3">
      <c r="C200" s="28"/>
      <c r="D200" s="18"/>
      <c r="E200" s="18"/>
      <c r="F200" s="22"/>
      <c r="G200" s="28"/>
      <c r="H200" s="39"/>
      <c r="I200" s="39"/>
    </row>
    <row r="201" spans="3:9" ht="19.5" customHeight="1" x14ac:dyDescent="0.3">
      <c r="C201" s="18"/>
      <c r="D201" s="18"/>
      <c r="E201" s="18"/>
      <c r="F201" s="18"/>
      <c r="G201" s="28"/>
      <c r="H201" s="28"/>
      <c r="I201" s="28"/>
    </row>
    <row r="202" spans="3:9" ht="19.5" customHeight="1" x14ac:dyDescent="0.3">
      <c r="C202" s="18"/>
      <c r="D202" s="18"/>
      <c r="E202" s="18"/>
      <c r="F202" s="18"/>
      <c r="G202" s="28"/>
      <c r="H202" s="28"/>
      <c r="I202" s="28"/>
    </row>
    <row r="203" spans="3:9" ht="19.5" customHeight="1" x14ac:dyDescent="0.3">
      <c r="C203" s="18"/>
      <c r="D203" s="18"/>
      <c r="E203" s="18"/>
      <c r="F203" s="18"/>
      <c r="G203" s="28"/>
      <c r="H203" s="28"/>
      <c r="I203" s="28"/>
    </row>
    <row r="204" spans="3:9" ht="19.5" customHeight="1" x14ac:dyDescent="0.35">
      <c r="C204" s="18" t="s">
        <v>112</v>
      </c>
      <c r="D204" s="18"/>
      <c r="E204" s="18"/>
      <c r="F204" s="18"/>
      <c r="G204" s="28"/>
      <c r="H204" s="28"/>
      <c r="I204" s="28"/>
    </row>
    <row r="205" spans="3:9" ht="19.5" customHeight="1" x14ac:dyDescent="0.3">
      <c r="C205" s="28"/>
      <c r="D205" s="18"/>
      <c r="E205" s="18" t="s">
        <v>10</v>
      </c>
      <c r="F205" s="22">
        <f>F41*SQRT(1/((F63^2)/(4*((F74^2/F74)+(F75^2/F74)+(F76^2/F74)+(F77^2/F74))^2)+(1/F57^2)))</f>
        <v>35645.401998924222</v>
      </c>
      <c r="G205" s="28" t="s">
        <v>40</v>
      </c>
      <c r="H205" s="40" t="s">
        <v>134</v>
      </c>
      <c r="I205" s="40"/>
    </row>
    <row r="206" spans="3:9" ht="19.5" customHeight="1" x14ac:dyDescent="0.3">
      <c r="C206" s="28"/>
      <c r="D206" s="18"/>
      <c r="E206" s="18" t="s">
        <v>11</v>
      </c>
      <c r="F206" s="22">
        <f>2*F205</f>
        <v>71290.803997848445</v>
      </c>
      <c r="G206" s="28" t="s">
        <v>40</v>
      </c>
      <c r="H206" s="40" t="s">
        <v>135</v>
      </c>
      <c r="I206" s="40"/>
    </row>
    <row r="207" spans="3:9" ht="19.5" customHeight="1" x14ac:dyDescent="0.3">
      <c r="C207" s="28"/>
      <c r="D207" s="18"/>
      <c r="E207" s="18"/>
      <c r="F207" s="22"/>
      <c r="G207" s="28"/>
      <c r="H207" s="39"/>
      <c r="I207" s="39"/>
    </row>
    <row r="208" spans="3:9" ht="19.5" customHeight="1" x14ac:dyDescent="0.3">
      <c r="C208" s="28"/>
      <c r="E208" s="18"/>
      <c r="F208" s="22"/>
      <c r="G208" s="28"/>
      <c r="H208" s="39"/>
      <c r="I208" s="39"/>
    </row>
    <row r="209" spans="3:10" ht="19.5" customHeight="1" x14ac:dyDescent="0.3">
      <c r="C209" s="28"/>
      <c r="D209" s="18"/>
      <c r="E209" s="18"/>
      <c r="F209" s="22"/>
      <c r="G209" s="28"/>
      <c r="H209" s="39"/>
      <c r="I209" s="40" t="s">
        <v>137</v>
      </c>
    </row>
    <row r="210" spans="3:10" ht="19.5" customHeight="1" x14ac:dyDescent="0.3">
      <c r="C210" s="28"/>
      <c r="D210" s="18"/>
      <c r="E210" s="18"/>
      <c r="F210" s="22"/>
      <c r="G210" s="28"/>
      <c r="H210" s="39"/>
      <c r="I210" s="39"/>
    </row>
    <row r="211" spans="3:10" ht="19.5" customHeight="1" x14ac:dyDescent="0.3">
      <c r="C211" s="18"/>
      <c r="D211" s="18"/>
      <c r="E211" s="18"/>
      <c r="F211" s="18"/>
      <c r="G211" s="28"/>
      <c r="H211" s="28"/>
      <c r="I211" s="28"/>
    </row>
    <row r="212" spans="3:10" ht="28.5" customHeight="1" thickBot="1" x14ac:dyDescent="0.55000000000000004">
      <c r="C212" s="42" t="s">
        <v>154</v>
      </c>
      <c r="D212" s="42"/>
      <c r="E212" s="42"/>
      <c r="F212" s="43">
        <f>MIN(F194,F206)/1000</f>
        <v>71.290803997848442</v>
      </c>
      <c r="G212" s="43" t="s">
        <v>37</v>
      </c>
      <c r="H212" s="52" t="s">
        <v>72</v>
      </c>
      <c r="I212" s="52"/>
      <c r="J212" s="50"/>
    </row>
    <row r="213" spans="3:10" ht="19.5" customHeight="1" x14ac:dyDescent="0.25">
      <c r="C213" s="18"/>
      <c r="D213" s="18"/>
      <c r="E213" s="18"/>
      <c r="F213" s="22"/>
      <c r="G213" s="22"/>
      <c r="H213" s="39"/>
      <c r="I213" s="39"/>
    </row>
    <row r="214" spans="3:10" ht="19.5" customHeight="1" x14ac:dyDescent="0.25">
      <c r="C214" s="18"/>
      <c r="D214" s="18"/>
      <c r="E214" s="18"/>
      <c r="F214" s="22"/>
      <c r="G214" s="22"/>
      <c r="H214" s="39"/>
      <c r="I214" s="39"/>
    </row>
    <row r="215" spans="3:10" ht="19.5" customHeight="1" x14ac:dyDescent="0.25">
      <c r="C215" s="18"/>
      <c r="D215" s="18"/>
      <c r="F215" s="22"/>
      <c r="G215" s="22"/>
      <c r="H215" s="39"/>
      <c r="I215" s="39"/>
    </row>
    <row r="216" spans="3:10" ht="19.5" customHeight="1" x14ac:dyDescent="0.3">
      <c r="C216" s="18"/>
      <c r="D216" s="18"/>
      <c r="E216" s="18"/>
      <c r="F216" s="18"/>
      <c r="G216" s="28"/>
      <c r="H216" s="28"/>
      <c r="I216" s="28"/>
    </row>
    <row r="217" spans="3:10" ht="19.5" customHeight="1" x14ac:dyDescent="0.3">
      <c r="C217" s="18"/>
      <c r="D217" s="18"/>
      <c r="E217" s="18"/>
      <c r="F217" s="18"/>
      <c r="G217" s="28"/>
      <c r="H217" s="28"/>
      <c r="I217" s="28"/>
    </row>
    <row r="218" spans="3:10" ht="19.5" customHeight="1" x14ac:dyDescent="0.3">
      <c r="C218" s="18"/>
      <c r="D218" s="18"/>
      <c r="E218" s="18"/>
      <c r="F218" s="18"/>
      <c r="G218" s="28"/>
      <c r="H218" s="28"/>
      <c r="I218" s="28"/>
    </row>
    <row r="219" spans="3:10" ht="19.5" customHeight="1" x14ac:dyDescent="0.3">
      <c r="C219" s="18"/>
      <c r="D219" s="18"/>
      <c r="E219" s="18"/>
      <c r="F219" s="18"/>
      <c r="G219" s="28"/>
      <c r="H219" s="28"/>
      <c r="I219" s="28"/>
    </row>
    <row r="220" spans="3:10" ht="19.5" customHeight="1" x14ac:dyDescent="0.3">
      <c r="C220" s="18"/>
      <c r="D220" s="18"/>
      <c r="E220" s="18"/>
      <c r="F220" s="18"/>
      <c r="G220" s="28"/>
      <c r="H220" s="28"/>
      <c r="I220" s="28"/>
    </row>
    <row r="221" spans="3:10" ht="19.5" customHeight="1" x14ac:dyDescent="0.3">
      <c r="C221" s="18"/>
      <c r="D221" s="18"/>
      <c r="E221" s="18"/>
      <c r="F221" s="18"/>
      <c r="G221" s="28"/>
      <c r="H221" s="28"/>
      <c r="I221" s="28"/>
    </row>
    <row r="222" spans="3:10" ht="19.5" customHeight="1" x14ac:dyDescent="0.3">
      <c r="C222" s="18"/>
      <c r="D222" s="18"/>
      <c r="E222" s="18"/>
      <c r="F222" s="18"/>
      <c r="G222" s="28"/>
      <c r="H222" s="28"/>
      <c r="I222" s="40" t="s">
        <v>140</v>
      </c>
    </row>
    <row r="223" spans="3:10" ht="19.5" customHeight="1" x14ac:dyDescent="0.3">
      <c r="C223" s="18"/>
      <c r="D223" s="18"/>
      <c r="E223" s="18"/>
      <c r="F223" s="18"/>
      <c r="G223" s="28"/>
      <c r="H223" s="28"/>
      <c r="I223" s="28"/>
    </row>
    <row r="224" spans="3:10" ht="19.5" customHeight="1" x14ac:dyDescent="0.3">
      <c r="C224" s="18"/>
      <c r="D224" s="18"/>
      <c r="E224" s="18"/>
      <c r="F224" s="18"/>
      <c r="G224" s="28"/>
      <c r="H224" s="28"/>
      <c r="I224" s="28"/>
    </row>
    <row r="225" spans="3:9" ht="19.5" customHeight="1" x14ac:dyDescent="0.3">
      <c r="C225" s="18"/>
      <c r="D225" s="18"/>
      <c r="E225" s="18"/>
      <c r="F225" s="18"/>
      <c r="G225" s="28"/>
      <c r="H225" s="28"/>
      <c r="I225" s="28"/>
    </row>
    <row r="226" spans="3:9" ht="19.5" customHeight="1" x14ac:dyDescent="0.35">
      <c r="C226" s="18" t="s">
        <v>113</v>
      </c>
      <c r="D226" s="18"/>
      <c r="E226" s="18"/>
      <c r="F226" s="18"/>
      <c r="G226" s="28"/>
      <c r="H226" s="28"/>
      <c r="I226" s="28"/>
    </row>
    <row r="227" spans="3:9" ht="19.5" customHeight="1" x14ac:dyDescent="0.3">
      <c r="C227" s="28"/>
      <c r="D227" s="18"/>
      <c r="E227" s="18" t="s">
        <v>10</v>
      </c>
      <c r="F227" s="22">
        <f>SQRT(1/(((((F63^2)/(4*F78^2))+(1/F57^2))/F40^2)+(((1.35^2)*(F71^2))/((F95^2)*(F37^2)))))</f>
        <v>40736.608298302723</v>
      </c>
      <c r="G227" s="28" t="s">
        <v>40</v>
      </c>
      <c r="H227" s="40" t="s">
        <v>67</v>
      </c>
      <c r="I227" s="40"/>
    </row>
    <row r="228" spans="3:9" ht="19.5" customHeight="1" x14ac:dyDescent="0.3">
      <c r="C228" s="28"/>
      <c r="D228" s="18"/>
      <c r="E228" s="18" t="s">
        <v>11</v>
      </c>
      <c r="F228" s="22">
        <f>2*F227</f>
        <v>81473.216596605445</v>
      </c>
      <c r="G228" s="28" t="s">
        <v>40</v>
      </c>
      <c r="H228" s="40" t="s">
        <v>139</v>
      </c>
      <c r="I228" s="40"/>
    </row>
    <row r="229" spans="3:9" ht="19.5" customHeight="1" x14ac:dyDescent="0.3">
      <c r="C229" s="28"/>
      <c r="D229" s="18"/>
      <c r="E229" s="18"/>
      <c r="F229" s="22"/>
      <c r="G229" s="28"/>
      <c r="H229" s="40"/>
      <c r="I229" s="40"/>
    </row>
    <row r="230" spans="3:9" ht="19.5" customHeight="1" x14ac:dyDescent="0.3">
      <c r="C230" s="28"/>
      <c r="D230" s="18"/>
      <c r="E230" s="18"/>
      <c r="F230" s="22"/>
      <c r="G230" s="28"/>
      <c r="H230" s="40"/>
      <c r="I230" s="40"/>
    </row>
    <row r="231" spans="3:9" ht="19.5" customHeight="1" x14ac:dyDescent="0.3">
      <c r="C231" s="28"/>
      <c r="E231" s="18"/>
      <c r="F231" s="22"/>
      <c r="G231" s="28"/>
      <c r="H231" s="40"/>
      <c r="I231" s="40"/>
    </row>
    <row r="232" spans="3:9" ht="19.5" customHeight="1" x14ac:dyDescent="0.3">
      <c r="C232" s="28"/>
      <c r="D232" s="18"/>
      <c r="E232" s="18"/>
      <c r="F232" s="22"/>
      <c r="G232" s="28"/>
      <c r="H232" s="40"/>
      <c r="I232" s="40" t="s">
        <v>141</v>
      </c>
    </row>
    <row r="233" spans="3:9" ht="19.5" customHeight="1" x14ac:dyDescent="0.3">
      <c r="C233" s="28"/>
      <c r="D233" s="18"/>
      <c r="E233" s="18"/>
      <c r="F233" s="22"/>
      <c r="G233" s="28"/>
      <c r="H233" s="40"/>
      <c r="I233" s="40"/>
    </row>
    <row r="234" spans="3:9" ht="19.5" customHeight="1" x14ac:dyDescent="0.3">
      <c r="C234" s="28"/>
      <c r="D234" s="18"/>
      <c r="E234" s="18"/>
      <c r="F234" s="22"/>
      <c r="G234" s="28"/>
      <c r="H234" s="40"/>
      <c r="I234" s="40"/>
    </row>
    <row r="235" spans="3:9" ht="19.5" customHeight="1" x14ac:dyDescent="0.3">
      <c r="C235" s="18"/>
      <c r="D235" s="18"/>
      <c r="E235" s="18"/>
      <c r="F235" s="18"/>
      <c r="G235" s="28"/>
      <c r="H235" s="28"/>
      <c r="I235" s="28"/>
    </row>
    <row r="236" spans="3:9" ht="19.5" customHeight="1" x14ac:dyDescent="0.3">
      <c r="C236" s="18"/>
      <c r="D236" s="18"/>
      <c r="E236" s="18"/>
      <c r="F236" s="18"/>
      <c r="G236" s="28"/>
      <c r="H236" s="28"/>
      <c r="I236" s="28"/>
    </row>
    <row r="237" spans="3:9" ht="19.5" customHeight="1" x14ac:dyDescent="0.35">
      <c r="C237" s="18" t="s">
        <v>114</v>
      </c>
      <c r="D237" s="18"/>
      <c r="E237" s="18"/>
      <c r="F237" s="18"/>
      <c r="G237" s="28"/>
      <c r="H237" s="28"/>
      <c r="I237" s="28"/>
    </row>
    <row r="238" spans="3:9" ht="19.5" customHeight="1" x14ac:dyDescent="0.3">
      <c r="C238" s="28"/>
      <c r="D238" s="18"/>
      <c r="E238" s="18" t="s">
        <v>10</v>
      </c>
      <c r="F238" s="22">
        <f>SQRT(1/(((((F63^2)/(4*F78^2))+(1/(F57^2)))/(F41^2))+(((1.35^2)*(F71^2))/((F95^2)*(F38^2)*((COS(RADIANS(F60)))^2)))))</f>
        <v>30929.888440998555</v>
      </c>
      <c r="G238" s="28" t="s">
        <v>40</v>
      </c>
      <c r="H238" s="40" t="s">
        <v>70</v>
      </c>
      <c r="I238" s="40"/>
    </row>
    <row r="239" spans="3:9" ht="19.5" customHeight="1" x14ac:dyDescent="0.3">
      <c r="C239" s="28"/>
      <c r="D239" s="18"/>
      <c r="E239" s="18" t="s">
        <v>11</v>
      </c>
      <c r="F239" s="22">
        <f>2*F238</f>
        <v>61859.77688199711</v>
      </c>
      <c r="G239" s="28" t="s">
        <v>40</v>
      </c>
      <c r="H239" s="40" t="s">
        <v>138</v>
      </c>
      <c r="I239" s="40"/>
    </row>
    <row r="240" spans="3:9" ht="19.5" customHeight="1" x14ac:dyDescent="0.3">
      <c r="C240" s="28"/>
      <c r="D240" s="18"/>
      <c r="E240" s="18"/>
      <c r="F240" s="22"/>
      <c r="G240" s="28"/>
      <c r="H240" s="40"/>
      <c r="I240" s="40"/>
    </row>
    <row r="241" spans="3:10" ht="19.5" customHeight="1" x14ac:dyDescent="0.3">
      <c r="C241" s="28"/>
      <c r="D241" s="18"/>
      <c r="E241" s="18"/>
      <c r="F241" s="22"/>
      <c r="G241" s="28"/>
      <c r="H241" s="40"/>
      <c r="I241" s="40"/>
    </row>
    <row r="242" spans="3:10" ht="19.5" customHeight="1" x14ac:dyDescent="0.3">
      <c r="C242" s="28"/>
      <c r="D242" s="18"/>
      <c r="E242" s="18"/>
      <c r="F242" s="22"/>
      <c r="G242" s="28"/>
      <c r="H242" s="40"/>
      <c r="I242" s="40" t="s">
        <v>142</v>
      </c>
    </row>
    <row r="243" spans="3:10" ht="19.5" customHeight="1" x14ac:dyDescent="0.3">
      <c r="C243" s="28"/>
      <c r="D243" s="18"/>
      <c r="E243" s="18"/>
      <c r="F243" s="22"/>
      <c r="G243" s="28"/>
      <c r="H243" s="40"/>
      <c r="I243" s="40"/>
    </row>
    <row r="244" spans="3:10" ht="19.5" customHeight="1" x14ac:dyDescent="0.3">
      <c r="C244" s="28"/>
      <c r="D244" s="18"/>
      <c r="E244" s="18"/>
      <c r="F244" s="22"/>
      <c r="G244" s="28"/>
      <c r="H244" s="40"/>
      <c r="I244" s="40"/>
    </row>
    <row r="245" spans="3:10" ht="30" customHeight="1" thickBot="1" x14ac:dyDescent="0.55000000000000004">
      <c r="C245" s="42" t="s">
        <v>155</v>
      </c>
      <c r="D245" s="42"/>
      <c r="E245" s="42"/>
      <c r="F245" s="43">
        <f>MIN(F228,F239)/1000</f>
        <v>61.859776881997107</v>
      </c>
      <c r="G245" s="43" t="s">
        <v>37</v>
      </c>
      <c r="H245" s="52" t="s">
        <v>71</v>
      </c>
      <c r="I245" s="52"/>
      <c r="J245" s="50"/>
    </row>
    <row r="246" spans="3:10" ht="19.5" customHeight="1" x14ac:dyDescent="0.25">
      <c r="C246" s="18"/>
      <c r="D246" s="18"/>
      <c r="E246" s="18"/>
      <c r="F246" s="22"/>
      <c r="G246" s="22"/>
      <c r="H246" s="39"/>
      <c r="I246" s="39"/>
    </row>
    <row r="247" spans="3:10" ht="19.5" customHeight="1" x14ac:dyDescent="0.25">
      <c r="C247" s="18"/>
      <c r="D247" s="18"/>
      <c r="E247" s="18"/>
      <c r="F247" s="22"/>
      <c r="G247" s="22"/>
      <c r="H247" s="39"/>
      <c r="I247" s="39"/>
    </row>
    <row r="248" spans="3:10" ht="19.5" customHeight="1" x14ac:dyDescent="0.25">
      <c r="C248" s="18"/>
      <c r="D248" s="18"/>
      <c r="E248" s="18"/>
      <c r="F248" s="22"/>
      <c r="G248" s="22"/>
      <c r="H248" s="39"/>
      <c r="I248" s="39"/>
    </row>
    <row r="249" spans="3:10" ht="19.5" customHeight="1" x14ac:dyDescent="0.25">
      <c r="C249" s="18"/>
      <c r="D249" s="18"/>
      <c r="E249" s="18"/>
      <c r="F249" s="22"/>
      <c r="G249" s="22"/>
      <c r="H249" s="39"/>
      <c r="I249" s="39"/>
    </row>
    <row r="250" spans="3:10" ht="19.5" customHeight="1" x14ac:dyDescent="0.25">
      <c r="C250" s="18"/>
      <c r="D250" s="18"/>
      <c r="E250" s="18"/>
      <c r="F250" s="22"/>
      <c r="G250" s="22"/>
      <c r="H250" s="39"/>
      <c r="I250" s="39"/>
    </row>
    <row r="251" spans="3:10" ht="19.5" customHeight="1" x14ac:dyDescent="0.25">
      <c r="C251" s="18"/>
      <c r="D251" s="18"/>
      <c r="E251" s="18"/>
      <c r="F251" s="22"/>
      <c r="G251" s="22"/>
      <c r="H251" s="39"/>
      <c r="I251" s="39"/>
    </row>
    <row r="252" spans="3:10" ht="19.5" customHeight="1" x14ac:dyDescent="0.25">
      <c r="C252" s="18"/>
      <c r="D252" s="18"/>
      <c r="E252" s="18"/>
      <c r="F252" s="22"/>
      <c r="G252" s="22"/>
      <c r="H252" s="39"/>
      <c r="I252" s="39"/>
    </row>
    <row r="253" spans="3:10" ht="19.5" customHeight="1" x14ac:dyDescent="0.25">
      <c r="C253" s="18"/>
      <c r="D253" s="18"/>
      <c r="E253" s="18"/>
      <c r="F253" s="22"/>
      <c r="G253" s="22"/>
      <c r="H253" s="39"/>
      <c r="I253" s="39"/>
    </row>
    <row r="254" spans="3:10" ht="19.5" customHeight="1" x14ac:dyDescent="0.25">
      <c r="C254" s="18"/>
      <c r="E254" s="18"/>
      <c r="F254" s="22"/>
      <c r="G254" s="22"/>
      <c r="H254" s="39"/>
      <c r="I254" s="39"/>
    </row>
    <row r="255" spans="3:10" ht="19.5" customHeight="1" x14ac:dyDescent="0.3">
      <c r="C255" s="18"/>
      <c r="D255" s="18"/>
      <c r="E255" s="18"/>
      <c r="F255" s="18"/>
      <c r="G255" s="28"/>
      <c r="H255" s="28"/>
      <c r="I255" s="40" t="s">
        <v>146</v>
      </c>
    </row>
    <row r="256" spans="3:10" ht="19.5" customHeight="1" x14ac:dyDescent="0.3">
      <c r="C256" s="18"/>
      <c r="D256" s="18"/>
      <c r="E256" s="18"/>
      <c r="F256" s="18"/>
      <c r="G256" s="28"/>
      <c r="H256" s="28"/>
      <c r="I256" s="28"/>
    </row>
    <row r="257" spans="3:10" ht="19.5" customHeight="1" x14ac:dyDescent="0.35">
      <c r="C257" s="18" t="s">
        <v>115</v>
      </c>
      <c r="D257" s="18"/>
      <c r="E257" s="18"/>
      <c r="F257" s="18"/>
      <c r="G257" s="28"/>
      <c r="H257" s="28"/>
      <c r="I257" s="28"/>
    </row>
    <row r="258" spans="3:10" ht="19.5" customHeight="1" x14ac:dyDescent="0.3">
      <c r="C258" s="28"/>
      <c r="D258" s="18"/>
      <c r="E258" s="18" t="s">
        <v>16</v>
      </c>
      <c r="F258" s="22">
        <f>F57*F40</f>
        <v>63980.482738860643</v>
      </c>
      <c r="G258" s="28" t="s">
        <v>40</v>
      </c>
      <c r="H258" s="51" t="s">
        <v>143</v>
      </c>
      <c r="I258" s="51"/>
    </row>
    <row r="259" spans="3:10" ht="19.5" customHeight="1" x14ac:dyDescent="0.3">
      <c r="C259" s="28"/>
      <c r="D259" s="18"/>
      <c r="E259" s="18"/>
      <c r="F259" s="22"/>
      <c r="G259" s="28"/>
      <c r="H259" s="39"/>
      <c r="I259" s="39"/>
    </row>
    <row r="260" spans="3:10" ht="19.5" customHeight="1" x14ac:dyDescent="0.3">
      <c r="C260" s="28"/>
      <c r="D260" s="18"/>
      <c r="E260" s="18"/>
      <c r="F260" s="22"/>
      <c r="G260" s="28"/>
      <c r="H260" s="39"/>
      <c r="I260" s="39"/>
    </row>
    <row r="261" spans="3:10" ht="19.5" customHeight="1" x14ac:dyDescent="0.3">
      <c r="C261" s="28"/>
      <c r="D261" s="18"/>
      <c r="E261" s="18"/>
      <c r="F261" s="22"/>
      <c r="G261" s="28"/>
      <c r="H261" s="39"/>
      <c r="I261" s="40" t="s">
        <v>147</v>
      </c>
    </row>
    <row r="262" spans="3:10" ht="19.5" customHeight="1" x14ac:dyDescent="0.3">
      <c r="C262" s="18"/>
      <c r="D262" s="18"/>
      <c r="E262" s="18"/>
      <c r="F262" s="18"/>
      <c r="G262" s="28"/>
      <c r="H262" s="28"/>
      <c r="I262" s="28"/>
    </row>
    <row r="263" spans="3:10" ht="19.5" customHeight="1" x14ac:dyDescent="0.35">
      <c r="C263" s="18" t="s">
        <v>116</v>
      </c>
      <c r="D263" s="18"/>
      <c r="E263" s="18"/>
      <c r="F263" s="18"/>
      <c r="G263" s="28"/>
      <c r="H263" s="28"/>
      <c r="I263" s="28"/>
    </row>
    <row r="264" spans="3:10" ht="19.5" customHeight="1" x14ac:dyDescent="0.3">
      <c r="C264" s="28"/>
      <c r="D264" s="18"/>
      <c r="E264" s="18" t="s">
        <v>16</v>
      </c>
      <c r="F264" s="22">
        <f>F57*F41</f>
        <v>49628.802269665255</v>
      </c>
      <c r="G264" s="28" t="s">
        <v>40</v>
      </c>
      <c r="H264" s="51" t="s">
        <v>144</v>
      </c>
      <c r="I264" s="51"/>
    </row>
    <row r="265" spans="3:10" ht="19.5" customHeight="1" x14ac:dyDescent="0.3">
      <c r="C265" s="28"/>
      <c r="D265" s="18"/>
      <c r="E265" s="18"/>
      <c r="F265" s="22"/>
      <c r="G265" s="28"/>
      <c r="H265" s="39"/>
      <c r="I265" s="39"/>
    </row>
    <row r="266" spans="3:10" ht="19.5" customHeight="1" x14ac:dyDescent="0.3">
      <c r="C266" s="28"/>
      <c r="E266" s="18"/>
      <c r="F266" s="22"/>
      <c r="G266" s="28"/>
      <c r="H266" s="39"/>
      <c r="I266" s="39"/>
    </row>
    <row r="267" spans="3:10" ht="19.5" customHeight="1" x14ac:dyDescent="0.3">
      <c r="C267" s="28"/>
      <c r="D267" s="18"/>
      <c r="E267" s="18"/>
      <c r="F267" s="22"/>
      <c r="G267" s="28"/>
      <c r="H267" s="39"/>
      <c r="I267" s="39"/>
    </row>
    <row r="268" spans="3:10" ht="19.5" customHeight="1" x14ac:dyDescent="0.3">
      <c r="C268" s="18"/>
      <c r="D268" s="18"/>
      <c r="E268" s="18"/>
      <c r="F268" s="18"/>
      <c r="G268" s="28"/>
      <c r="H268" s="28"/>
      <c r="I268" s="28"/>
    </row>
    <row r="269" spans="3:10" ht="29.25" customHeight="1" thickBot="1" x14ac:dyDescent="0.55000000000000004">
      <c r="C269" s="42" t="s">
        <v>156</v>
      </c>
      <c r="D269" s="42"/>
      <c r="E269" s="42"/>
      <c r="F269" s="43">
        <f>MIN(F264,F258)/1000</f>
        <v>49.628802269665258</v>
      </c>
      <c r="G269" s="43" t="s">
        <v>37</v>
      </c>
      <c r="H269" s="52" t="s">
        <v>145</v>
      </c>
      <c r="I269" s="52"/>
      <c r="J269" s="50"/>
    </row>
    <row r="270" spans="3:10" ht="19.5" customHeight="1" x14ac:dyDescent="0.25">
      <c r="C270" s="18"/>
      <c r="D270" s="18"/>
      <c r="E270" s="18"/>
      <c r="F270" s="22"/>
      <c r="G270" s="22"/>
      <c r="H270" s="39"/>
      <c r="I270" s="39"/>
    </row>
    <row r="271" spans="3:10" ht="19.5" customHeight="1" x14ac:dyDescent="0.25">
      <c r="C271" s="18"/>
      <c r="D271" s="18"/>
      <c r="E271" s="18"/>
      <c r="F271" s="22"/>
      <c r="G271" s="22"/>
      <c r="H271" s="39"/>
      <c r="I271" s="39"/>
    </row>
    <row r="272" spans="3:10" ht="19.5" customHeight="1" x14ac:dyDescent="0.25">
      <c r="C272" s="18"/>
      <c r="D272" s="18"/>
      <c r="E272" s="18"/>
      <c r="F272" s="22"/>
      <c r="G272" s="22"/>
      <c r="H272" s="39"/>
      <c r="I272" s="39"/>
    </row>
    <row r="273" spans="3:9" ht="19.5" customHeight="1" x14ac:dyDescent="0.25">
      <c r="C273" s="18"/>
      <c r="D273" s="18"/>
      <c r="E273" s="18"/>
      <c r="F273" s="22"/>
      <c r="G273" s="22"/>
      <c r="H273" s="39"/>
      <c r="I273" s="39"/>
    </row>
    <row r="274" spans="3:9" ht="19.5" customHeight="1" x14ac:dyDescent="0.25">
      <c r="C274" s="18"/>
      <c r="D274" s="18"/>
      <c r="E274" s="18"/>
      <c r="F274" s="22"/>
      <c r="G274" s="22"/>
      <c r="H274" s="39"/>
      <c r="I274" s="39"/>
    </row>
    <row r="275" spans="3:9" ht="19.5" customHeight="1" x14ac:dyDescent="0.25">
      <c r="C275" s="18"/>
      <c r="D275" s="18"/>
      <c r="E275" s="18"/>
      <c r="F275" s="22"/>
      <c r="G275" s="22"/>
      <c r="H275" s="39"/>
      <c r="I275" s="39"/>
    </row>
    <row r="276" spans="3:9" ht="19.5" customHeight="1" x14ac:dyDescent="0.3">
      <c r="C276" s="18"/>
      <c r="D276" s="18"/>
      <c r="E276" s="18"/>
      <c r="F276" s="18"/>
      <c r="G276" s="28"/>
      <c r="H276" s="28"/>
      <c r="I276" s="28"/>
    </row>
    <row r="277" spans="3:9" ht="19.5" customHeight="1" x14ac:dyDescent="0.3">
      <c r="C277" s="18"/>
      <c r="D277" s="18"/>
      <c r="E277" s="18"/>
      <c r="F277" s="18"/>
      <c r="G277" s="28"/>
      <c r="H277" s="28"/>
      <c r="I277" s="28"/>
    </row>
    <row r="278" spans="3:9" ht="19.5" customHeight="1" x14ac:dyDescent="0.3">
      <c r="C278" s="18"/>
      <c r="E278" s="18"/>
      <c r="F278" s="18"/>
      <c r="G278" s="28"/>
      <c r="H278" s="28"/>
      <c r="I278" s="28"/>
    </row>
    <row r="279" spans="3:9" ht="19.5" customHeight="1" x14ac:dyDescent="0.3">
      <c r="C279" s="18"/>
      <c r="D279" s="18"/>
      <c r="E279" s="18"/>
      <c r="F279" s="18"/>
      <c r="G279" s="28"/>
      <c r="H279" s="28"/>
      <c r="I279" s="40" t="s">
        <v>148</v>
      </c>
    </row>
    <row r="280" spans="3:9" ht="19.5" customHeight="1" x14ac:dyDescent="0.3">
      <c r="C280" s="18"/>
      <c r="D280" s="18"/>
      <c r="E280" s="18"/>
      <c r="F280" s="18"/>
      <c r="G280" s="28"/>
      <c r="H280" s="28"/>
      <c r="I280" s="28"/>
    </row>
    <row r="281" spans="3:9" ht="19.5" customHeight="1" x14ac:dyDescent="0.3">
      <c r="C281" s="18"/>
      <c r="D281" s="18"/>
      <c r="E281" s="18"/>
      <c r="F281" s="18"/>
      <c r="G281" s="28"/>
      <c r="H281" s="28"/>
      <c r="I281" s="28"/>
    </row>
    <row r="282" spans="3:9" ht="19.5" customHeight="1" x14ac:dyDescent="0.35">
      <c r="C282" s="18" t="s">
        <v>117</v>
      </c>
      <c r="D282" s="18"/>
      <c r="E282" s="18"/>
      <c r="F282" s="18"/>
      <c r="G282" s="28"/>
      <c r="H282" s="28"/>
      <c r="I282" s="28"/>
    </row>
    <row r="283" spans="3:9" ht="19.5" customHeight="1" x14ac:dyDescent="0.3">
      <c r="C283" s="28"/>
      <c r="D283" s="18"/>
      <c r="E283" s="18" t="s">
        <v>16</v>
      </c>
      <c r="F283" s="22">
        <f>SQRT(1/((1/(F57^2*F40^2))+((1.35^2*F71^2)/F111^2)/((F57^2)*(F37^2))))</f>
        <v>58168.926342883402</v>
      </c>
      <c r="G283" s="28" t="s">
        <v>40</v>
      </c>
      <c r="H283" s="51" t="s">
        <v>73</v>
      </c>
      <c r="I283" s="51"/>
    </row>
    <row r="284" spans="3:9" ht="19.5" customHeight="1" x14ac:dyDescent="0.3">
      <c r="C284" s="28"/>
      <c r="D284" s="18"/>
      <c r="E284" s="18"/>
      <c r="F284" s="22"/>
      <c r="G284" s="28"/>
      <c r="H284" s="39"/>
      <c r="I284" s="39"/>
    </row>
    <row r="285" spans="3:9" ht="19.5" customHeight="1" x14ac:dyDescent="0.3">
      <c r="C285" s="28"/>
      <c r="D285" s="18"/>
      <c r="E285" s="18"/>
      <c r="F285" s="22"/>
      <c r="G285" s="28"/>
      <c r="H285" s="39"/>
      <c r="I285" s="39"/>
    </row>
    <row r="286" spans="3:9" ht="19.5" customHeight="1" x14ac:dyDescent="0.3">
      <c r="C286" s="28"/>
      <c r="D286" s="18"/>
      <c r="E286" s="18"/>
      <c r="F286" s="22"/>
      <c r="G286" s="28"/>
      <c r="H286" s="39"/>
      <c r="I286" s="39"/>
    </row>
    <row r="287" spans="3:9" ht="19.5" customHeight="1" x14ac:dyDescent="0.3">
      <c r="C287" s="28"/>
      <c r="D287" s="18"/>
      <c r="E287" s="18"/>
      <c r="F287" s="22"/>
      <c r="G287" s="28"/>
      <c r="H287" s="39"/>
      <c r="I287" s="40" t="s">
        <v>149</v>
      </c>
    </row>
    <row r="288" spans="3:9" ht="19.5" customHeight="1" x14ac:dyDescent="0.3">
      <c r="C288" s="28"/>
      <c r="D288" s="18"/>
      <c r="E288" s="18"/>
      <c r="F288" s="22"/>
      <c r="G288" s="28"/>
      <c r="H288" s="39"/>
      <c r="I288" s="39"/>
    </row>
    <row r="289" spans="3:10" ht="19.5" customHeight="1" x14ac:dyDescent="0.3">
      <c r="C289" s="18"/>
      <c r="D289" s="18"/>
      <c r="E289" s="18"/>
      <c r="F289" s="18"/>
      <c r="G289" s="28"/>
      <c r="H289" s="28"/>
      <c r="I289" s="28"/>
    </row>
    <row r="290" spans="3:10" ht="19.5" customHeight="1" x14ac:dyDescent="0.35">
      <c r="C290" s="18" t="s">
        <v>118</v>
      </c>
      <c r="D290" s="18"/>
      <c r="E290" s="18"/>
      <c r="F290" s="18"/>
      <c r="G290" s="28"/>
      <c r="H290" s="28"/>
      <c r="I290" s="28"/>
    </row>
    <row r="291" spans="3:10" ht="19.5" customHeight="1" x14ac:dyDescent="0.3">
      <c r="C291" s="28"/>
      <c r="D291" s="18"/>
      <c r="E291" s="18" t="s">
        <v>16</v>
      </c>
      <c r="F291" s="22">
        <f>SQRT(1/((1/(F57^2*F41^2))+((1.35^2*F71^2)/F112^2)/((F57^2)*(F38^2)*((COS(RADIANS(F60)))^2))))</f>
        <v>41829.961916198175</v>
      </c>
      <c r="G291" s="28" t="s">
        <v>40</v>
      </c>
      <c r="H291" s="51" t="s">
        <v>74</v>
      </c>
      <c r="I291" s="51"/>
    </row>
    <row r="292" spans="3:10" ht="19.5" customHeight="1" x14ac:dyDescent="0.3">
      <c r="C292" s="28"/>
      <c r="D292" s="18"/>
      <c r="E292" s="18"/>
      <c r="F292" s="22"/>
      <c r="G292" s="28"/>
      <c r="H292" s="39"/>
      <c r="I292" s="39"/>
    </row>
    <row r="293" spans="3:10" ht="19.5" customHeight="1" x14ac:dyDescent="0.3">
      <c r="C293" s="28"/>
      <c r="D293" s="18"/>
      <c r="E293" s="18"/>
      <c r="F293" s="22"/>
      <c r="G293" s="28"/>
      <c r="H293" s="39"/>
      <c r="I293" s="39"/>
    </row>
    <row r="294" spans="3:10" ht="19.5" customHeight="1" x14ac:dyDescent="0.3">
      <c r="C294" s="28"/>
      <c r="D294" s="18"/>
      <c r="E294" s="18"/>
      <c r="F294" s="22"/>
      <c r="G294" s="28"/>
      <c r="H294" s="39"/>
      <c r="I294" s="40" t="s">
        <v>150</v>
      </c>
    </row>
    <row r="295" spans="3:10" ht="19.5" customHeight="1" x14ac:dyDescent="0.3">
      <c r="C295" s="18"/>
      <c r="D295" s="18"/>
      <c r="E295" s="18"/>
      <c r="F295" s="18"/>
      <c r="G295" s="28"/>
      <c r="H295" s="28"/>
      <c r="I295" s="28"/>
    </row>
    <row r="296" spans="3:10" ht="29.25" customHeight="1" thickBot="1" x14ac:dyDescent="0.55000000000000004">
      <c r="C296" s="42" t="s">
        <v>157</v>
      </c>
      <c r="D296" s="42"/>
      <c r="E296" s="42"/>
      <c r="F296" s="43">
        <f>MIN(F291,F283)/1000</f>
        <v>41.829961916198172</v>
      </c>
      <c r="G296" s="43" t="s">
        <v>37</v>
      </c>
      <c r="H296" s="52" t="s">
        <v>75</v>
      </c>
      <c r="I296" s="52"/>
      <c r="J296" s="50"/>
    </row>
    <row r="297" spans="3:10" ht="19.5" customHeight="1" x14ac:dyDescent="0.25"/>
  </sheetData>
  <sheetProtection algorithmName="SHA-512" hashValue="lBUlyDGQphsJ0DcrVaQXPlx8Hhrd9/vkHLtbh/C0aCnjnww2J30diQS0iD4ybHT/cnFsesK7uVmg0It5d6UUZQ==" saltValue="3W5Okq8Sp7+p7wD96suovw==" spinCount="100000" sheet="1" objects="1" scenarios="1" selectLockedCells="1"/>
  <mergeCells count="35">
    <mergeCell ref="C2:I2"/>
    <mergeCell ref="C83:D83"/>
    <mergeCell ref="C86:D86"/>
    <mergeCell ref="H32:I32"/>
    <mergeCell ref="H38:I38"/>
    <mergeCell ref="H40:I40"/>
    <mergeCell ref="C3:I3"/>
    <mergeCell ref="C71:D71"/>
    <mergeCell ref="C73:D73"/>
    <mergeCell ref="H74:I77"/>
    <mergeCell ref="H111:I112"/>
    <mergeCell ref="H7:I7"/>
    <mergeCell ref="H8:I8"/>
    <mergeCell ref="H24:I24"/>
    <mergeCell ref="H26:I26"/>
    <mergeCell ref="H19:I19"/>
    <mergeCell ref="H22:I22"/>
    <mergeCell ref="H41:I41"/>
    <mergeCell ref="H28:I28"/>
    <mergeCell ref="H29:I29"/>
    <mergeCell ref="H34:I34"/>
    <mergeCell ref="H37:I37"/>
    <mergeCell ref="H31:I31"/>
    <mergeCell ref="H87:I94"/>
    <mergeCell ref="H83:I84"/>
    <mergeCell ref="H151:I151"/>
    <mergeCell ref="H180:I180"/>
    <mergeCell ref="H212:I212"/>
    <mergeCell ref="H269:I269"/>
    <mergeCell ref="H283:I283"/>
    <mergeCell ref="H291:I291"/>
    <mergeCell ref="H296:I296"/>
    <mergeCell ref="H245:I245"/>
    <mergeCell ref="H258:I258"/>
    <mergeCell ref="H264:I264"/>
  </mergeCells>
  <phoneticPr fontId="1" type="noConversion"/>
  <pageMargins left="0.31496062992125984" right="0.31496062992125984" top="1.5748031496062993" bottom="0.78740157480314965" header="0.31496062992125984" footer="0.31496062992125984"/>
  <pageSetup paperSize="9" scale="47" orientation="portrait" r:id="rId1"/>
  <headerFooter>
    <oddHeader>&amp;C&amp;G</oddHeader>
    <oddFooter>&amp;C&amp;G</oddFooter>
  </headerFooter>
  <rowBreaks count="4" manualBreakCount="4">
    <brk id="65" min="1" max="9" man="1"/>
    <brk id="122" max="16383" man="1"/>
    <brk id="181" min="1" max="9" man="1"/>
    <brk id="246" min="1" max="9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Equation.DSMT4" shapeId="1029" r:id="rId5">
          <objectPr defaultSize="0" autoPict="0" r:id="rId6">
            <anchor moveWithCells="1" sizeWithCells="1">
              <from>
                <xdr:col>8</xdr:col>
                <xdr:colOff>295275</xdr:colOff>
                <xdr:row>19</xdr:row>
                <xdr:rowOff>171450</xdr:rowOff>
              </from>
              <to>
                <xdr:col>9</xdr:col>
                <xdr:colOff>285750</xdr:colOff>
                <xdr:row>23</xdr:row>
                <xdr:rowOff>19050</xdr:rowOff>
              </to>
            </anchor>
          </objectPr>
        </oleObject>
      </mc:Choice>
      <mc:Fallback>
        <oleObject progId="Equation.DSMT4" shapeId="1029" r:id="rId5"/>
      </mc:Fallback>
    </mc:AlternateContent>
    <mc:AlternateContent xmlns:mc="http://schemas.openxmlformats.org/markup-compatibility/2006">
      <mc:Choice Requires="x14">
        <oleObject progId="Equation.DSMT4" shapeId="1035" r:id="rId7">
          <objectPr defaultSize="0" autoPict="0" r:id="rId8">
            <anchor moveWithCells="1" sizeWithCells="1">
              <from>
                <xdr:col>5</xdr:col>
                <xdr:colOff>238125</xdr:colOff>
                <xdr:row>41</xdr:row>
                <xdr:rowOff>142875</xdr:rowOff>
              </from>
              <to>
                <xdr:col>10</xdr:col>
                <xdr:colOff>314325</xdr:colOff>
                <xdr:row>51</xdr:row>
                <xdr:rowOff>38100</xdr:rowOff>
              </to>
            </anchor>
          </objectPr>
        </oleObject>
      </mc:Choice>
      <mc:Fallback>
        <oleObject progId="Equation.DSMT4" shapeId="1035" r:id="rId7"/>
      </mc:Fallback>
    </mc:AlternateContent>
    <mc:AlternateContent xmlns:mc="http://schemas.openxmlformats.org/markup-compatibility/2006">
      <mc:Choice Requires="x14">
        <oleObject progId="Equation.DSMT4" shapeId="1045" r:id="rId9">
          <objectPr defaultSize="0" autoPict="0" r:id="rId10">
            <anchor moveWithCells="1" sizeWithCells="1">
              <from>
                <xdr:col>3</xdr:col>
                <xdr:colOff>9525</xdr:colOff>
                <xdr:row>128</xdr:row>
                <xdr:rowOff>133350</xdr:rowOff>
              </from>
              <to>
                <xdr:col>5</xdr:col>
                <xdr:colOff>38100</xdr:colOff>
                <xdr:row>133</xdr:row>
                <xdr:rowOff>200025</xdr:rowOff>
              </to>
            </anchor>
          </objectPr>
        </oleObject>
      </mc:Choice>
      <mc:Fallback>
        <oleObject progId="Equation.DSMT4" shapeId="1045" r:id="rId9"/>
      </mc:Fallback>
    </mc:AlternateContent>
    <mc:AlternateContent xmlns:mc="http://schemas.openxmlformats.org/markup-compatibility/2006">
      <mc:Choice Requires="x14">
        <oleObject progId="Equation.DSMT4" shapeId="1046" r:id="rId11">
          <objectPr defaultSize="0" autoPict="0" r:id="rId12">
            <anchor moveWithCells="1" sizeWithCells="1">
              <from>
                <xdr:col>3</xdr:col>
                <xdr:colOff>9525</xdr:colOff>
                <xdr:row>137</xdr:row>
                <xdr:rowOff>209550</xdr:rowOff>
              </from>
              <to>
                <xdr:col>7</xdr:col>
                <xdr:colOff>295275</xdr:colOff>
                <xdr:row>141</xdr:row>
                <xdr:rowOff>219075</xdr:rowOff>
              </to>
            </anchor>
          </objectPr>
        </oleObject>
      </mc:Choice>
      <mc:Fallback>
        <oleObject progId="Equation.DSMT4" shapeId="1046" r:id="rId11"/>
      </mc:Fallback>
    </mc:AlternateContent>
    <mc:AlternateContent xmlns:mc="http://schemas.openxmlformats.org/markup-compatibility/2006">
      <mc:Choice Requires="x14">
        <oleObject progId="Equation.DSMT4" shapeId="1047" r:id="rId13">
          <objectPr defaultSize="0" autoPict="0" r:id="rId14">
            <anchor moveWithCells="1" sizeWithCells="1">
              <from>
                <xdr:col>3</xdr:col>
                <xdr:colOff>9525</xdr:colOff>
                <xdr:row>147</xdr:row>
                <xdr:rowOff>28575</xdr:rowOff>
              </from>
              <to>
                <xdr:col>5</xdr:col>
                <xdr:colOff>447675</xdr:colOff>
                <xdr:row>149</xdr:row>
                <xdr:rowOff>200025</xdr:rowOff>
              </to>
            </anchor>
          </objectPr>
        </oleObject>
      </mc:Choice>
      <mc:Fallback>
        <oleObject progId="Equation.DSMT4" shapeId="1047" r:id="rId13"/>
      </mc:Fallback>
    </mc:AlternateContent>
    <mc:AlternateContent xmlns:mc="http://schemas.openxmlformats.org/markup-compatibility/2006">
      <mc:Choice Requires="x14">
        <oleObject progId="Equation.DSMT4" shapeId="1048" r:id="rId15">
          <objectPr defaultSize="0" autoPict="0" r:id="rId16">
            <anchor moveWithCells="1" sizeWithCells="1">
              <from>
                <xdr:col>2</xdr:col>
                <xdr:colOff>3057525</xdr:colOff>
                <xdr:row>151</xdr:row>
                <xdr:rowOff>114300</xdr:rowOff>
              </from>
              <to>
                <xdr:col>5</xdr:col>
                <xdr:colOff>762000</xdr:colOff>
                <xdr:row>157</xdr:row>
                <xdr:rowOff>161925</xdr:rowOff>
              </to>
            </anchor>
          </objectPr>
        </oleObject>
      </mc:Choice>
      <mc:Fallback>
        <oleObject progId="Equation.DSMT4" shapeId="1048" r:id="rId15"/>
      </mc:Fallback>
    </mc:AlternateContent>
    <mc:AlternateContent xmlns:mc="http://schemas.openxmlformats.org/markup-compatibility/2006">
      <mc:Choice Requires="x14">
        <oleObject progId="Equation.DSMT4" shapeId="1049" r:id="rId17">
          <objectPr defaultSize="0" autoPict="0" r:id="rId18">
            <anchor moveWithCells="1" sizeWithCells="1">
              <from>
                <xdr:col>2</xdr:col>
                <xdr:colOff>3057525</xdr:colOff>
                <xdr:row>164</xdr:row>
                <xdr:rowOff>76200</xdr:rowOff>
              </from>
              <to>
                <xdr:col>5</xdr:col>
                <xdr:colOff>971550</xdr:colOff>
                <xdr:row>171</xdr:row>
                <xdr:rowOff>19050</xdr:rowOff>
              </to>
            </anchor>
          </objectPr>
        </oleObject>
      </mc:Choice>
      <mc:Fallback>
        <oleObject progId="Equation.DSMT4" shapeId="1049" r:id="rId17"/>
      </mc:Fallback>
    </mc:AlternateContent>
    <mc:AlternateContent xmlns:mc="http://schemas.openxmlformats.org/markup-compatibility/2006">
      <mc:Choice Requires="x14">
        <oleObject progId="Equation.DSMT4" shapeId="1050" r:id="rId19">
          <objectPr defaultSize="0" autoPict="0" r:id="rId20">
            <anchor moveWithCells="1" sizeWithCells="1">
              <from>
                <xdr:col>3</xdr:col>
                <xdr:colOff>0</xdr:colOff>
                <xdr:row>175</xdr:row>
                <xdr:rowOff>28575</xdr:rowOff>
              </from>
              <to>
                <xdr:col>5</xdr:col>
                <xdr:colOff>447675</xdr:colOff>
                <xdr:row>177</xdr:row>
                <xdr:rowOff>180975</xdr:rowOff>
              </to>
            </anchor>
          </objectPr>
        </oleObject>
      </mc:Choice>
      <mc:Fallback>
        <oleObject progId="Equation.DSMT4" shapeId="1050" r:id="rId19"/>
      </mc:Fallback>
    </mc:AlternateContent>
    <mc:AlternateContent xmlns:mc="http://schemas.openxmlformats.org/markup-compatibility/2006">
      <mc:Choice Requires="x14">
        <oleObject progId="Equation.DSMT4" shapeId="1051" r:id="rId21">
          <objectPr defaultSize="0" autoPict="0" r:id="rId10">
            <anchor moveWithCells="1" sizeWithCells="1">
              <from>
                <xdr:col>2</xdr:col>
                <xdr:colOff>3086100</xdr:colOff>
                <xdr:row>185</xdr:row>
                <xdr:rowOff>47625</xdr:rowOff>
              </from>
              <to>
                <xdr:col>5</xdr:col>
                <xdr:colOff>266700</xdr:colOff>
                <xdr:row>190</xdr:row>
                <xdr:rowOff>238125</xdr:rowOff>
              </to>
            </anchor>
          </objectPr>
        </oleObject>
      </mc:Choice>
      <mc:Fallback>
        <oleObject progId="Equation.DSMT4" shapeId="1051" r:id="rId21"/>
      </mc:Fallback>
    </mc:AlternateContent>
    <mc:AlternateContent xmlns:mc="http://schemas.openxmlformats.org/markup-compatibility/2006">
      <mc:Choice Requires="x14">
        <oleObject progId="Equation.DSMT4" shapeId="1052" r:id="rId22">
          <objectPr defaultSize="0" autoPict="0" r:id="rId23">
            <anchor moveWithCells="1" sizeWithCells="1">
              <from>
                <xdr:col>3</xdr:col>
                <xdr:colOff>19050</xdr:colOff>
                <xdr:row>195</xdr:row>
                <xdr:rowOff>57150</xdr:rowOff>
              </from>
              <to>
                <xdr:col>5</xdr:col>
                <xdr:colOff>619125</xdr:colOff>
                <xdr:row>200</xdr:row>
                <xdr:rowOff>200025</xdr:rowOff>
              </to>
            </anchor>
          </objectPr>
        </oleObject>
      </mc:Choice>
      <mc:Fallback>
        <oleObject progId="Equation.DSMT4" shapeId="1052" r:id="rId22"/>
      </mc:Fallback>
    </mc:AlternateContent>
    <mc:AlternateContent xmlns:mc="http://schemas.openxmlformats.org/markup-compatibility/2006">
      <mc:Choice Requires="x14">
        <oleObject progId="Equation.DSMT4" shapeId="1053" r:id="rId24">
          <objectPr defaultSize="0" autoPict="0" r:id="rId25">
            <anchor moveWithCells="1" sizeWithCells="1">
              <from>
                <xdr:col>3</xdr:col>
                <xdr:colOff>0</xdr:colOff>
                <xdr:row>207</xdr:row>
                <xdr:rowOff>0</xdr:rowOff>
              </from>
              <to>
                <xdr:col>7</xdr:col>
                <xdr:colOff>485775</xdr:colOff>
                <xdr:row>209</xdr:row>
                <xdr:rowOff>200025</xdr:rowOff>
              </to>
            </anchor>
          </objectPr>
        </oleObject>
      </mc:Choice>
      <mc:Fallback>
        <oleObject progId="Equation.DSMT4" shapeId="1053" r:id="rId24"/>
      </mc:Fallback>
    </mc:AlternateContent>
    <mc:AlternateContent xmlns:mc="http://schemas.openxmlformats.org/markup-compatibility/2006">
      <mc:Choice Requires="x14">
        <oleObject progId="Equation.DSMT4" shapeId="1054" r:id="rId26">
          <objectPr defaultSize="0" autoPict="0" r:id="rId16">
            <anchor moveWithCells="1" sizeWithCells="1">
              <from>
                <xdr:col>3</xdr:col>
                <xdr:colOff>133350</xdr:colOff>
                <xdr:row>213</xdr:row>
                <xdr:rowOff>219075</xdr:rowOff>
              </from>
              <to>
                <xdr:col>5</xdr:col>
                <xdr:colOff>923925</xdr:colOff>
                <xdr:row>221</xdr:row>
                <xdr:rowOff>9525</xdr:rowOff>
              </to>
            </anchor>
          </objectPr>
        </oleObject>
      </mc:Choice>
      <mc:Fallback>
        <oleObject progId="Equation.DSMT4" shapeId="1054" r:id="rId26"/>
      </mc:Fallback>
    </mc:AlternateContent>
    <mc:AlternateContent xmlns:mc="http://schemas.openxmlformats.org/markup-compatibility/2006">
      <mc:Choice Requires="x14">
        <oleObject progId="Equation.DSMT4" shapeId="1055" r:id="rId27">
          <objectPr defaultSize="0" autoPict="0" r:id="rId28">
            <anchor moveWithCells="1" sizeWithCells="1">
              <from>
                <xdr:col>3</xdr:col>
                <xdr:colOff>57150</xdr:colOff>
                <xdr:row>229</xdr:row>
                <xdr:rowOff>19050</xdr:rowOff>
              </from>
              <to>
                <xdr:col>6</xdr:col>
                <xdr:colOff>76200</xdr:colOff>
                <xdr:row>234</xdr:row>
                <xdr:rowOff>238125</xdr:rowOff>
              </to>
            </anchor>
          </objectPr>
        </oleObject>
      </mc:Choice>
      <mc:Fallback>
        <oleObject progId="Equation.DSMT4" shapeId="1055" r:id="rId27"/>
      </mc:Fallback>
    </mc:AlternateContent>
    <mc:AlternateContent xmlns:mc="http://schemas.openxmlformats.org/markup-compatibility/2006">
      <mc:Choice Requires="x14">
        <oleObject progId="Equation.DSMT4" shapeId="1056" r:id="rId29">
          <objectPr defaultSize="0" autoPict="0" r:id="rId30">
            <anchor moveWithCells="1" sizeWithCells="1">
              <from>
                <xdr:col>3</xdr:col>
                <xdr:colOff>19050</xdr:colOff>
                <xdr:row>240</xdr:row>
                <xdr:rowOff>57150</xdr:rowOff>
              </from>
              <to>
                <xdr:col>5</xdr:col>
                <xdr:colOff>466725</xdr:colOff>
                <xdr:row>242</xdr:row>
                <xdr:rowOff>209550</xdr:rowOff>
              </to>
            </anchor>
          </objectPr>
        </oleObject>
      </mc:Choice>
      <mc:Fallback>
        <oleObject progId="Equation.DSMT4" shapeId="1056" r:id="rId29"/>
      </mc:Fallback>
    </mc:AlternateContent>
    <mc:AlternateContent xmlns:mc="http://schemas.openxmlformats.org/markup-compatibility/2006">
      <mc:Choice Requires="x14">
        <oleObject progId="Equation.DSMT4" shapeId="1057" r:id="rId31">
          <objectPr defaultSize="0" autoPict="0" r:id="rId32">
            <anchor moveWithCells="1" sizeWithCells="1">
              <from>
                <xdr:col>3</xdr:col>
                <xdr:colOff>0</xdr:colOff>
                <xdr:row>253</xdr:row>
                <xdr:rowOff>133350</xdr:rowOff>
              </from>
              <to>
                <xdr:col>4</xdr:col>
                <xdr:colOff>1219200</xdr:colOff>
                <xdr:row>255</xdr:row>
                <xdr:rowOff>133350</xdr:rowOff>
              </to>
            </anchor>
          </objectPr>
        </oleObject>
      </mc:Choice>
      <mc:Fallback>
        <oleObject progId="Equation.DSMT4" shapeId="1057" r:id="rId31"/>
      </mc:Fallback>
    </mc:AlternateContent>
    <mc:AlternateContent xmlns:mc="http://schemas.openxmlformats.org/markup-compatibility/2006">
      <mc:Choice Requires="x14">
        <oleObject progId="Equation.DSMT4" shapeId="1058" r:id="rId33">
          <objectPr defaultSize="0" autoPict="0" r:id="rId34">
            <anchor moveWithCells="1" sizeWithCells="1">
              <from>
                <xdr:col>3</xdr:col>
                <xdr:colOff>0</xdr:colOff>
                <xdr:row>259</xdr:row>
                <xdr:rowOff>133350</xdr:rowOff>
              </from>
              <to>
                <xdr:col>4</xdr:col>
                <xdr:colOff>1219200</xdr:colOff>
                <xdr:row>261</xdr:row>
                <xdr:rowOff>133350</xdr:rowOff>
              </to>
            </anchor>
          </objectPr>
        </oleObject>
      </mc:Choice>
      <mc:Fallback>
        <oleObject progId="Equation.DSMT4" shapeId="1058" r:id="rId33"/>
      </mc:Fallback>
    </mc:AlternateContent>
    <mc:AlternateContent xmlns:mc="http://schemas.openxmlformats.org/markup-compatibility/2006">
      <mc:Choice Requires="x14">
        <oleObject progId="Equation.DSMT4" shapeId="1059" r:id="rId35">
          <objectPr defaultSize="0" autoPict="0" r:id="rId36">
            <anchor moveWithCells="1" sizeWithCells="1">
              <from>
                <xdr:col>2</xdr:col>
                <xdr:colOff>3086100</xdr:colOff>
                <xdr:row>264</xdr:row>
                <xdr:rowOff>171450</xdr:rowOff>
              </from>
              <to>
                <xdr:col>4</xdr:col>
                <xdr:colOff>1838325</xdr:colOff>
                <xdr:row>267</xdr:row>
                <xdr:rowOff>238125</xdr:rowOff>
              </to>
            </anchor>
          </objectPr>
        </oleObject>
      </mc:Choice>
      <mc:Fallback>
        <oleObject progId="Equation.DSMT4" shapeId="1059" r:id="rId35"/>
      </mc:Fallback>
    </mc:AlternateContent>
    <mc:AlternateContent xmlns:mc="http://schemas.openxmlformats.org/markup-compatibility/2006">
      <mc:Choice Requires="x14">
        <oleObject progId="Equation.DSMT4" shapeId="1060" r:id="rId37">
          <objectPr defaultSize="0" autoPict="0" r:id="rId38">
            <anchor moveWithCells="1" sizeWithCells="1">
              <from>
                <xdr:col>3</xdr:col>
                <xdr:colOff>0</xdr:colOff>
                <xdr:row>276</xdr:row>
                <xdr:rowOff>0</xdr:rowOff>
              </from>
              <to>
                <xdr:col>4</xdr:col>
                <xdr:colOff>1905000</xdr:colOff>
                <xdr:row>280</xdr:row>
                <xdr:rowOff>171450</xdr:rowOff>
              </to>
            </anchor>
          </objectPr>
        </oleObject>
      </mc:Choice>
      <mc:Fallback>
        <oleObject progId="Equation.DSMT4" shapeId="1060" r:id="rId37"/>
      </mc:Fallback>
    </mc:AlternateContent>
    <mc:AlternateContent xmlns:mc="http://schemas.openxmlformats.org/markup-compatibility/2006">
      <mc:Choice Requires="x14">
        <oleObject progId="Equation.DSMT4" shapeId="1061" r:id="rId39">
          <objectPr defaultSize="0" autoPict="0" r:id="rId40">
            <anchor moveWithCells="1" sizeWithCells="1">
              <from>
                <xdr:col>3</xdr:col>
                <xdr:colOff>9525</xdr:colOff>
                <xdr:row>284</xdr:row>
                <xdr:rowOff>19050</xdr:rowOff>
              </from>
              <to>
                <xdr:col>4</xdr:col>
                <xdr:colOff>1914525</xdr:colOff>
                <xdr:row>288</xdr:row>
                <xdr:rowOff>190500</xdr:rowOff>
              </to>
            </anchor>
          </objectPr>
        </oleObject>
      </mc:Choice>
      <mc:Fallback>
        <oleObject progId="Equation.DSMT4" shapeId="1061" r:id="rId39"/>
      </mc:Fallback>
    </mc:AlternateContent>
    <mc:AlternateContent xmlns:mc="http://schemas.openxmlformats.org/markup-compatibility/2006">
      <mc:Choice Requires="x14">
        <oleObject progId="Equation.DSMT4" shapeId="1062" r:id="rId41">
          <objectPr defaultSize="0" autoPict="0" r:id="rId42">
            <anchor moveWithCells="1" sizeWithCells="1">
              <from>
                <xdr:col>3</xdr:col>
                <xdr:colOff>19050</xdr:colOff>
                <xdr:row>291</xdr:row>
                <xdr:rowOff>200025</xdr:rowOff>
              </from>
              <to>
                <xdr:col>5</xdr:col>
                <xdr:colOff>161925</xdr:colOff>
                <xdr:row>294</xdr:row>
                <xdr:rowOff>104775</xdr:rowOff>
              </to>
            </anchor>
          </objectPr>
        </oleObject>
      </mc:Choice>
      <mc:Fallback>
        <oleObject progId="Equation.DSMT4" shapeId="1062" r:id="rId4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Mst. Thomas Hutzinger (Holzbau-Meister)</dc:creator>
  <cp:lastModifiedBy>Mst. Thomas Hutzinger (Holzbau-Meister)</cp:lastModifiedBy>
  <cp:lastPrinted>2024-08-20T09:53:32Z</cp:lastPrinted>
  <dcterms:created xsi:type="dcterms:W3CDTF">2024-03-28T06:24:35Z</dcterms:created>
  <dcterms:modified xsi:type="dcterms:W3CDTF">2024-11-07T11:46:15Z</dcterms:modified>
</cp:coreProperties>
</file>