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N:\04 Bemessungen\00_Bemessungsvorlagen\Auszugswerte IdeFix\"/>
    </mc:Choice>
  </mc:AlternateContent>
  <xr:revisionPtr revIDLastSave="0" documentId="13_ncr:1_{760605BD-EF70-4F83-A91D-157D7F82885C}" xr6:coauthVersionLast="47" xr6:coauthVersionMax="47" xr10:uidLastSave="{00000000-0000-0000-0000-000000000000}"/>
  <bookViews>
    <workbookView xWindow="-120" yWindow="-120" windowWidth="29040" windowHeight="17640" xr2:uid="{B381DDB5-CD55-4C5E-A5C1-E3EE67899BFA}"/>
  </bookViews>
  <sheets>
    <sheet name="Tabelle1" sheetId="1" r:id="rId1"/>
  </sheets>
  <definedNames>
    <definedName name="_xlnm.Print_Area" localSheetId="0">Tabelle1!$A$1:$U$81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" l="1"/>
  <c r="C13" i="1"/>
  <c r="C24" i="1"/>
  <c r="C75" i="1"/>
  <c r="C52" i="1"/>
  <c r="C53" i="1" s="1"/>
  <c r="C38" i="1"/>
  <c r="C34" i="1"/>
  <c r="C20" i="1"/>
  <c r="C64" i="1" l="1"/>
  <c r="C22" i="1"/>
  <c r="C26" i="1" s="1"/>
  <c r="C23" i="1"/>
  <c r="G7" i="1" s="1"/>
  <c r="C44" i="1"/>
  <c r="C56" i="1" s="1"/>
  <c r="C55" i="1"/>
  <c r="C62" i="1" s="1"/>
  <c r="C67" i="1" s="1"/>
  <c r="C43" i="1"/>
  <c r="G12" i="1" l="1"/>
  <c r="C47" i="1"/>
  <c r="C61" i="1"/>
  <c r="C66" i="1" s="1"/>
  <c r="G9" i="1" s="1"/>
  <c r="G6" i="1"/>
  <c r="G10" i="1" l="1"/>
  <c r="G8" i="1"/>
</calcChain>
</file>

<file path=xl/sharedStrings.xml><?xml version="1.0" encoding="utf-8"?>
<sst xmlns="http://schemas.openxmlformats.org/spreadsheetml/2006/main" count="62" uniqueCount="62">
  <si>
    <t>Rohdichte Holz</t>
  </si>
  <si>
    <t>lef HK</t>
  </si>
  <si>
    <t>Ø HK</t>
  </si>
  <si>
    <t xml:space="preserve">MyRk HK norm. C1 </t>
  </si>
  <si>
    <t>Winkel Schraubenachse zur Faser</t>
  </si>
  <si>
    <t>fax,k</t>
  </si>
  <si>
    <t>Fvk nach Johansen (e) non predrilled</t>
  </si>
  <si>
    <t>fhk non predrilled</t>
  </si>
  <si>
    <r>
      <t>Fax,</t>
    </r>
    <r>
      <rPr>
        <sz val="11"/>
        <color theme="1"/>
        <rFont val="Aptos Narrow"/>
        <family val="2"/>
      </rPr>
      <t>α,R</t>
    </r>
    <r>
      <rPr>
        <sz val="11"/>
        <color theme="1"/>
        <rFont val="Aptos Narrow"/>
        <family val="2"/>
        <scheme val="minor"/>
      </rPr>
      <t>k</t>
    </r>
  </si>
  <si>
    <t>F1 non predrilled</t>
  </si>
  <si>
    <t>Anzahl der Schrauben im IdeFix</t>
  </si>
  <si>
    <t>k1</t>
  </si>
  <si>
    <t>k2</t>
  </si>
  <si>
    <t>k3</t>
  </si>
  <si>
    <t>k4</t>
  </si>
  <si>
    <t>le</t>
  </si>
  <si>
    <t>kh</t>
  </si>
  <si>
    <t>k90</t>
  </si>
  <si>
    <t>Ø IdeFix</t>
  </si>
  <si>
    <t>Beiwerte:</t>
  </si>
  <si>
    <t>Fc,90,k Washer</t>
  </si>
  <si>
    <t>Mode a:</t>
  </si>
  <si>
    <t>FRk,IdeFix, endgrain</t>
  </si>
  <si>
    <t>nHK</t>
  </si>
  <si>
    <t>Fax</t>
  </si>
  <si>
    <t>Fax für Seileffekt</t>
  </si>
  <si>
    <t>Mode b:</t>
  </si>
  <si>
    <r>
      <t>fh,</t>
    </r>
    <r>
      <rPr>
        <sz val="11"/>
        <color theme="1"/>
        <rFont val="Aptos Narrow"/>
        <family val="2"/>
      </rPr>
      <t>α,bolt</t>
    </r>
  </si>
  <si>
    <t>Ø bolt</t>
  </si>
  <si>
    <t>Winkel Kraft Faser bolt</t>
  </si>
  <si>
    <t>My,bolt</t>
  </si>
  <si>
    <t>Bolzengüte</t>
  </si>
  <si>
    <t>Ø</t>
  </si>
  <si>
    <t>Güte</t>
  </si>
  <si>
    <t>Fv,Rk,bolt</t>
  </si>
  <si>
    <t>e,bolt</t>
  </si>
  <si>
    <t>FRk,IdeFix, sidegrain</t>
  </si>
  <si>
    <t>leh</t>
  </si>
  <si>
    <t>Fv,Rk,GoFix non predrilled mode a</t>
  </si>
  <si>
    <t>Fv,Rk,mode b</t>
  </si>
  <si>
    <t>Mode c:</t>
  </si>
  <si>
    <t>bjoist</t>
  </si>
  <si>
    <t>hjoist</t>
  </si>
  <si>
    <t>he</t>
  </si>
  <si>
    <t>Fmodec,IdeFixIF,Rk</t>
  </si>
  <si>
    <t xml:space="preserve">Tragfähigkeit IdeFix </t>
  </si>
  <si>
    <t>F2 non predrilled</t>
  </si>
  <si>
    <t>IdeFix Tragfähigkeit nach ETA 14/0160 von 2024/05/23</t>
  </si>
  <si>
    <t>Rohdichte Holz Kronenseite</t>
  </si>
  <si>
    <t>ts</t>
  </si>
  <si>
    <t>Fv,Rk,mode b steel to timber conection</t>
  </si>
  <si>
    <t>Fv,Rk,bolt steel to timber</t>
  </si>
  <si>
    <t>F2 non predrilled steel to timber</t>
  </si>
  <si>
    <t>F1 non predrilled with rod-effekt</t>
  </si>
  <si>
    <t>Eingabefeld</t>
  </si>
  <si>
    <t>Ausgabefeld</t>
  </si>
  <si>
    <t>Fvk nach Johansen (e) non predrilled A2 A4</t>
  </si>
  <si>
    <t>F1 A2 - A4 NKL 3</t>
  </si>
  <si>
    <t>F2 A2 - A4 NKL 3</t>
  </si>
  <si>
    <t>F2  steel to timber A2 - A4 NKL 3</t>
  </si>
  <si>
    <t>MyRk HKE A2 A4</t>
  </si>
  <si>
    <t xml:space="preserve">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</si>
</sst>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&quot; kg/m³&quot;"/>
    <numFmt numFmtId="165" formatCode="0&quot; mm&quot;"/>
    <numFmt numFmtId="166" formatCode="0.0&quot; mm&quot;"/>
    <numFmt numFmtId="167" formatCode="0&quot; Nmm&quot;"/>
    <numFmt numFmtId="168" formatCode="0.00&quot; Nmm&quot;"/>
    <numFmt numFmtId="169" formatCode="0&quot;°&quot;"/>
    <numFmt numFmtId="170" formatCode="0.00&quot; N/mm²&quot;"/>
    <numFmt numFmtId="171" formatCode="0&quot; N&quot;"/>
    <numFmt numFmtId="172" formatCode="0.0&quot; N&quot;"/>
    <numFmt numFmtId="173" formatCode="0&quot; Stk&quot;"/>
    <numFmt numFmtId="174" formatCode="0.00&quot; kN&quot;"/>
  </numFmts>
  <fonts count="5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Aptos Narrow"/>
      <family val="2"/>
    </font>
    <font>
      <b/>
      <sz val="14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165" fontId="0" fillId="0" borderId="0" xfId="0" applyNumberFormat="1"/>
    <xf numFmtId="167" fontId="0" fillId="0" borderId="0" xfId="0" applyNumberFormat="1"/>
    <xf numFmtId="168" fontId="0" fillId="0" borderId="0" xfId="0" applyNumberFormat="1"/>
    <xf numFmtId="170" fontId="0" fillId="0" borderId="0" xfId="0" applyNumberFormat="1"/>
    <xf numFmtId="172" fontId="0" fillId="0" borderId="0" xfId="0" applyNumberFormat="1"/>
    <xf numFmtId="172" fontId="0" fillId="2" borderId="0" xfId="0" applyNumberFormat="1" applyFill="1"/>
    <xf numFmtId="173" fontId="0" fillId="3" borderId="0" xfId="0" applyNumberFormat="1" applyFill="1"/>
    <xf numFmtId="164" fontId="0" fillId="3" borderId="0" xfId="0" applyNumberFormat="1" applyFill="1"/>
    <xf numFmtId="165" fontId="0" fillId="3" borderId="0" xfId="0" applyNumberFormat="1" applyFill="1"/>
    <xf numFmtId="166" fontId="0" fillId="3" borderId="0" xfId="0" applyNumberFormat="1" applyFill="1"/>
    <xf numFmtId="170" fontId="0" fillId="3" borderId="0" xfId="0" applyNumberFormat="1" applyFill="1"/>
    <xf numFmtId="169" fontId="0" fillId="3" borderId="0" xfId="0" applyNumberFormat="1" applyFill="1"/>
    <xf numFmtId="171" fontId="0" fillId="3" borderId="0" xfId="0" applyNumberFormat="1" applyFill="1"/>
    <xf numFmtId="0" fontId="0" fillId="3" borderId="0" xfId="0" applyFill="1"/>
    <xf numFmtId="0" fontId="0" fillId="0" borderId="0" xfId="0" applyAlignment="1">
      <alignment vertical="center" wrapText="1"/>
    </xf>
    <xf numFmtId="174" fontId="0" fillId="0" borderId="0" xfId="0" applyNumberFormat="1"/>
    <xf numFmtId="174" fontId="3" fillId="2" borderId="13" xfId="0" applyNumberFormat="1" applyFont="1" applyFill="1" applyBorder="1"/>
    <xf numFmtId="169" fontId="0" fillId="3" borderId="14" xfId="0" applyNumberFormat="1" applyFill="1" applyBorder="1"/>
    <xf numFmtId="0" fontId="0" fillId="0" borderId="15" xfId="0" applyBorder="1"/>
    <xf numFmtId="172" fontId="0" fillId="2" borderId="14" xfId="0" applyNumberFormat="1" applyFill="1" applyBorder="1"/>
    <xf numFmtId="0" fontId="4" fillId="0" borderId="0" xfId="0" applyFont="1"/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74" fontId="3" fillId="2" borderId="11" xfId="0" applyNumberFormat="1" applyFont="1" applyFill="1" applyBorder="1" applyAlignment="1">
      <alignment horizontal="center" vertical="center"/>
    </xf>
    <xf numFmtId="174" fontId="3" fillId="2" borderId="12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311150</xdr:colOff>
      <xdr:row>0</xdr:row>
      <xdr:rowOff>184150</xdr:rowOff>
    </xdr:from>
    <xdr:to>
      <xdr:col>10</xdr:col>
      <xdr:colOff>675005</xdr:colOff>
      <xdr:row>13</xdr:row>
      <xdr:rowOff>45720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F0F9300-57F0-07B1-C3AD-3E359FB8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1150" y="184150"/>
          <a:ext cx="2647950" cy="3054350"/>
        </a:xfrm>
        <a:prstGeom prst="rect">
          <a:avLst/>
        </a:prstGeom>
      </xdr:spPr>
    </xdr:pic>
    <xdr:clientData/>
  </xdr:twoCellAnchor>
  <xdr:twoCellAnchor editAs="oneCell">
    <xdr:from>
      <xdr:col>7</xdr:col>
      <xdr:colOff>447040</xdr:colOff>
      <xdr:row>13</xdr:row>
      <xdr:rowOff>133985</xdr:rowOff>
    </xdr:from>
    <xdr:to>
      <xdr:col>10</xdr:col>
      <xdr:colOff>478790</xdr:colOff>
      <xdr:row>23</xdr:row>
      <xdr:rowOff>133985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45DE206-CCFE-9D4F-B810-A6C803F4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3765" y="3258185"/>
          <a:ext cx="2460625" cy="1933575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24</xdr:row>
      <xdr:rowOff>19050</xdr:rowOff>
    </xdr:from>
    <xdr:to>
      <xdr:col>10</xdr:col>
      <xdr:colOff>495300</xdr:colOff>
      <xdr:row>37</xdr:row>
      <xdr:rowOff>93345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A16159B-F7AA-F995-71EC-197569EEE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5267325"/>
          <a:ext cx="4914900" cy="2550795"/>
        </a:xfrm>
        <a:prstGeom prst="rect">
          <a:avLst/>
        </a:prstGeom>
      </xdr:spPr>
    </xdr:pic>
    <xdr:clientData/>
  </xdr:twoCellAnchor>
  <xdr:twoCellAnchor editAs="oneCell">
    <xdr:from>
      <xdr:col>13</xdr:col>
      <xdr:colOff>736146</xdr:colOff>
      <xdr:row>0</xdr:row>
      <xdr:rowOff>128532</xdr:rowOff>
    </xdr:from>
    <xdr:to>
      <xdr:col>20</xdr:col>
      <xdr:colOff>4324350</xdr:colOff>
      <xdr:row>27</xdr:row>
      <xdr:rowOff>37556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3906E9F-20CC-EC85-497D-131F1F06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0621" y="128532"/>
          <a:ext cx="9255579" cy="5728799"/>
        </a:xfrm>
        <a:prstGeom prst="rect">
          <a:avLst/>
        </a:prstGeom>
      </xdr:spPr>
    </xdr:pic>
    <xdr:clientData/>
  </xdr:twoCellAnchor>
  <xdr:twoCellAnchor editAs="oneCell">
    <xdr:from>
      <xdr:col>4</xdr:col>
      <xdr:colOff>150495</xdr:colOff>
      <xdr:row>37</xdr:row>
      <xdr:rowOff>121920</xdr:rowOff>
    </xdr:from>
    <xdr:to>
      <xdr:col>11</xdr:col>
      <xdr:colOff>369075</xdr:colOff>
      <xdr:row>42</xdr:row>
      <xdr:rowOff>162063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BE33FDE-E7DD-C1BA-C1CF-803FBED8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08345" y="7846695"/>
          <a:ext cx="5889130" cy="989468"/>
        </a:xfrm>
        <a:prstGeom prst="rect">
          <a:avLst/>
        </a:prstGeom>
      </xdr:spPr>
    </xdr:pic>
    <xdr:clientData/>
  </xdr:twoCellAnchor>
  <xdr:twoCellAnchor editAs="oneCell">
    <xdr:from>
      <xdr:col>13</xdr:col>
      <xdr:colOff>722538</xdr:colOff>
      <xdr:row>26</xdr:row>
      <xdr:rowOff>178254</xdr:rowOff>
    </xdr:from>
    <xdr:to>
      <xdr:col>20</xdr:col>
      <xdr:colOff>4303604</xdr:colOff>
      <xdr:row>51</xdr:row>
      <xdr:rowOff>95250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A8151B88-A5E7-B652-BDAC-2DF1786A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67013" y="5807529"/>
          <a:ext cx="9248441" cy="4679496"/>
        </a:xfrm>
        <a:prstGeom prst="rect">
          <a:avLst/>
        </a:prstGeom>
      </xdr:spPr>
    </xdr:pic>
    <xdr:clientData/>
  </xdr:twoCellAnchor>
  <xdr:twoCellAnchor editAs="oneCell">
    <xdr:from>
      <xdr:col>4</xdr:col>
      <xdr:colOff>170906</xdr:colOff>
      <xdr:row>66</xdr:row>
      <xdr:rowOff>66675</xdr:rowOff>
    </xdr:from>
    <xdr:to>
      <xdr:col>11</xdr:col>
      <xdr:colOff>387581</xdr:colOff>
      <xdr:row>80</xdr:row>
      <xdr:rowOff>9889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3D78703F-D651-F543-591C-08CBBFF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28756" y="13315950"/>
          <a:ext cx="5887225" cy="2607039"/>
        </a:xfrm>
        <a:prstGeom prst="rect">
          <a:avLst/>
        </a:prstGeom>
      </xdr:spPr>
    </xdr:pic>
    <xdr:clientData/>
  </xdr:twoCellAnchor>
  <xdr:twoCellAnchor editAs="oneCell">
    <xdr:from>
      <xdr:col>15</xdr:col>
      <xdr:colOff>805542</xdr:colOff>
      <xdr:row>51</xdr:row>
      <xdr:rowOff>157842</xdr:rowOff>
    </xdr:from>
    <xdr:to>
      <xdr:col>20</xdr:col>
      <xdr:colOff>2808229</xdr:colOff>
      <xdr:row>80</xdr:row>
      <xdr:rowOff>133349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F4D41796-EF57-DBF3-1470-53544F3F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69267" y="10549617"/>
          <a:ext cx="6053987" cy="5500007"/>
        </a:xfrm>
        <a:prstGeom prst="rect">
          <a:avLst/>
        </a:prstGeom>
      </xdr:spPr>
    </xdr:pic>
    <xdr:clientData/>
  </xdr:twoCellAnchor>
  <xdr:twoCellAnchor editAs="oneCell">
    <xdr:from>
      <xdr:col>4</xdr:col>
      <xdr:colOff>230503</xdr:colOff>
      <xdr:row>49</xdr:row>
      <xdr:rowOff>9525</xdr:rowOff>
    </xdr:from>
    <xdr:to>
      <xdr:col>9</xdr:col>
      <xdr:colOff>685800</xdr:colOff>
      <xdr:row>66</xdr:row>
      <xdr:rowOff>83353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766E4EF-69AB-6C28-C12B-769AAC5EB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88353" y="10020300"/>
          <a:ext cx="4503422" cy="3309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562D-5852-4D75-9D8E-DDCAB8D93903}">
  <dimension ref="B2:N75"/>
  <sheetViews>
    <sheetView tabSelected="1" view="pageBreakPreview" zoomScale="90" zoomScaleNormal="100" zoomScaleSheetLayoutView="90" zoomScalePageLayoutView="55" workbookViewId="0">
      <selection activeCell="C54" sqref="C54"/>
    </sheetView>
  </sheetViews>
  <sheetFormatPr baseColWidth="10" defaultRowHeight="15" x14ac:dyDescent="0.25"/>
  <cols>
    <col min="2" max="2" width="40.42578125" customWidth="1"/>
    <col min="3" max="3" width="16.7109375" customWidth="1"/>
    <col min="21" max="21" width="84.85546875" customWidth="1"/>
  </cols>
  <sheetData>
    <row r="2" spans="2:14" ht="34.5" x14ac:dyDescent="0.55000000000000004">
      <c r="B2" s="21" t="s">
        <v>47</v>
      </c>
    </row>
    <row r="3" spans="2:14" ht="15.75" thickBot="1" x14ac:dyDescent="0.3"/>
    <row r="4" spans="2:14" ht="18.600000000000001" customHeight="1" x14ac:dyDescent="0.25">
      <c r="B4" s="30" t="s">
        <v>10</v>
      </c>
      <c r="C4" s="7">
        <v>8</v>
      </c>
      <c r="E4" s="31" t="s">
        <v>45</v>
      </c>
      <c r="F4" s="32"/>
      <c r="G4" s="35"/>
    </row>
    <row r="5" spans="2:14" x14ac:dyDescent="0.25">
      <c r="B5" s="30"/>
      <c r="E5" s="33"/>
      <c r="F5" s="34"/>
      <c r="G5" s="36"/>
    </row>
    <row r="6" spans="2:14" ht="18.75" x14ac:dyDescent="0.3">
      <c r="E6" s="28" t="s">
        <v>9</v>
      </c>
      <c r="F6" s="29"/>
      <c r="G6" s="17">
        <f>C26/1000</f>
        <v>36.914337827362409</v>
      </c>
    </row>
    <row r="7" spans="2:14" ht="18.75" x14ac:dyDescent="0.3">
      <c r="B7" t="s">
        <v>0</v>
      </c>
      <c r="C7" s="8">
        <v>385</v>
      </c>
      <c r="E7" s="28" t="s">
        <v>57</v>
      </c>
      <c r="F7" s="29"/>
      <c r="G7" s="17">
        <f>C4*(C23+C24)*COS(RADIANS(45))/1000</f>
        <v>35.364311894709417</v>
      </c>
    </row>
    <row r="8" spans="2:14" ht="18.75" x14ac:dyDescent="0.3">
      <c r="B8" t="s">
        <v>48</v>
      </c>
      <c r="C8" s="8">
        <v>385</v>
      </c>
      <c r="E8" s="28" t="s">
        <v>46</v>
      </c>
      <c r="F8" s="29"/>
      <c r="G8" s="17">
        <f>MIN(C47,C66,C75)/1000</f>
        <v>26.626892413444487</v>
      </c>
      <c r="N8" s="16"/>
    </row>
    <row r="9" spans="2:14" ht="18.75" x14ac:dyDescent="0.3">
      <c r="B9" t="s">
        <v>1</v>
      </c>
      <c r="C9" s="9">
        <v>53</v>
      </c>
      <c r="E9" s="28" t="s">
        <v>58</v>
      </c>
      <c r="F9" s="29"/>
      <c r="G9" s="17">
        <f>MIN(C40*(C23+C44/4)+C43,C66,C75)/1000</f>
        <v>26.626892413444487</v>
      </c>
    </row>
    <row r="10" spans="2:14" ht="18.600000000000001" customHeight="1" x14ac:dyDescent="0.25">
      <c r="E10" s="22" t="s">
        <v>52</v>
      </c>
      <c r="F10" s="23"/>
      <c r="G10" s="26">
        <f>MIN(C47,C67,C75)/1000</f>
        <v>20.268750000000001</v>
      </c>
      <c r="N10" s="16"/>
    </row>
    <row r="11" spans="2:14" ht="15.75" thickBot="1" x14ac:dyDescent="0.3">
      <c r="B11" t="s">
        <v>2</v>
      </c>
      <c r="C11" s="10">
        <v>6</v>
      </c>
      <c r="E11" s="24"/>
      <c r="F11" s="25"/>
      <c r="G11" s="27"/>
    </row>
    <row r="12" spans="2:14" ht="14.45" customHeight="1" x14ac:dyDescent="0.25">
      <c r="B12" t="s">
        <v>18</v>
      </c>
      <c r="C12" s="10">
        <v>40</v>
      </c>
      <c r="E12" s="22" t="s">
        <v>59</v>
      </c>
      <c r="F12" s="23"/>
      <c r="G12" s="26">
        <f>MIN(C40*(C23+C44/4)+C43,C67,C75)/1000</f>
        <v>20.268750000000001</v>
      </c>
      <c r="N12" s="16"/>
    </row>
    <row r="13" spans="2:14" ht="24.95" customHeight="1" thickBot="1" x14ac:dyDescent="0.3">
      <c r="B13" t="s">
        <v>3</v>
      </c>
      <c r="C13" s="3">
        <f>0.15*600*C11^2.6</f>
        <v>9493.7056071306088</v>
      </c>
      <c r="E13" s="24"/>
      <c r="F13" s="25"/>
      <c r="G13" s="27"/>
      <c r="N13" s="16"/>
    </row>
    <row r="14" spans="2:14" x14ac:dyDescent="0.25">
      <c r="B14" t="s">
        <v>60</v>
      </c>
      <c r="C14" s="3">
        <f>0.15*350*C11^2.6</f>
        <v>5537.9949374928556</v>
      </c>
    </row>
    <row r="15" spans="2:14" x14ac:dyDescent="0.25">
      <c r="B15" t="s">
        <v>5</v>
      </c>
      <c r="C15" s="11">
        <v>11.4</v>
      </c>
    </row>
    <row r="16" spans="2:14" ht="15.75" thickBot="1" x14ac:dyDescent="0.3">
      <c r="D16" t="s">
        <v>61</v>
      </c>
    </row>
    <row r="17" spans="2:6" ht="15.75" thickBot="1" x14ac:dyDescent="0.3">
      <c r="B17" s="15" t="s">
        <v>4</v>
      </c>
      <c r="C17" s="12">
        <v>45</v>
      </c>
      <c r="E17" s="18"/>
      <c r="F17" s="19" t="s">
        <v>54</v>
      </c>
    </row>
    <row r="18" spans="2:6" ht="15.75" thickBot="1" x14ac:dyDescent="0.3">
      <c r="B18" s="15"/>
      <c r="E18" s="20"/>
      <c r="F18" s="19" t="s">
        <v>55</v>
      </c>
    </row>
    <row r="20" spans="2:6" x14ac:dyDescent="0.25">
      <c r="B20" t="s">
        <v>7</v>
      </c>
      <c r="C20" s="4">
        <f>(0.082*C7*C11^(-0.3))/(2.5*(COS(RADIANS(C17)))^2+(SIN(RADIANS(C17)))^2)</f>
        <v>10.538799886464293</v>
      </c>
    </row>
    <row r="21" spans="2:6" x14ac:dyDescent="0.25">
      <c r="C21" s="4"/>
    </row>
    <row r="22" spans="2:6" x14ac:dyDescent="0.25">
      <c r="B22" s="15" t="s">
        <v>6</v>
      </c>
      <c r="C22" s="5">
        <f>MIN(2.3*SQRT(C13*C20*C11)+C24/4,C20*C9*C11*(SQRT(2+((4*C13)/(C20*C9^2*C11)))-1)+C24/4,C20*100*C11)</f>
        <v>2613.1688024072218</v>
      </c>
    </row>
    <row r="23" spans="2:6" x14ac:dyDescent="0.25">
      <c r="B23" s="15" t="s">
        <v>56</v>
      </c>
      <c r="C23" s="5">
        <f>MIN(2.3*SQRT(C14*C20*C11)+C24/4,C20*C9*C11*(SQRT(2+((4*C14)/(C20*C9^2*C11)))-1)+C24/4,C20*100*C11)</f>
        <v>2339.1603404087377</v>
      </c>
    </row>
    <row r="24" spans="2:6" ht="15" customHeight="1" x14ac:dyDescent="0.25">
      <c r="B24" t="s">
        <v>8</v>
      </c>
      <c r="C24" s="5">
        <f>C15*C11*C9*(C7/350)^0.8</f>
        <v>3912.4258477775397</v>
      </c>
    </row>
    <row r="26" spans="2:6" x14ac:dyDescent="0.25">
      <c r="B26" t="s">
        <v>53</v>
      </c>
      <c r="C26" s="6">
        <f>C4*(C22+C24)*COS(RADIANS(45))</f>
        <v>36914.337827362411</v>
      </c>
    </row>
    <row r="27" spans="2:6" x14ac:dyDescent="0.25">
      <c r="B27" s="15"/>
    </row>
    <row r="29" spans="2:6" x14ac:dyDescent="0.25">
      <c r="B29" t="s">
        <v>21</v>
      </c>
    </row>
    <row r="31" spans="2:6" x14ac:dyDescent="0.25">
      <c r="B31" t="s">
        <v>19</v>
      </c>
    </row>
    <row r="32" spans="2:6" x14ac:dyDescent="0.25">
      <c r="B32" t="s">
        <v>11</v>
      </c>
      <c r="C32">
        <v>1</v>
      </c>
    </row>
    <row r="33" spans="2:9" x14ac:dyDescent="0.25">
      <c r="B33" t="s">
        <v>12</v>
      </c>
      <c r="C33">
        <v>1</v>
      </c>
    </row>
    <row r="34" spans="2:9" x14ac:dyDescent="0.25">
      <c r="B34" t="s">
        <v>13</v>
      </c>
      <c r="C34">
        <f>MIN(1.75,C7/350)</f>
        <v>1.1000000000000001</v>
      </c>
    </row>
    <row r="35" spans="2:9" x14ac:dyDescent="0.25">
      <c r="B35" t="s">
        <v>14</v>
      </c>
      <c r="C35">
        <v>1</v>
      </c>
    </row>
    <row r="36" spans="2:9" x14ac:dyDescent="0.25">
      <c r="B36" t="s">
        <v>15</v>
      </c>
      <c r="C36" s="9">
        <v>25</v>
      </c>
    </row>
    <row r="37" spans="2:9" x14ac:dyDescent="0.25">
      <c r="B37" t="s">
        <v>16</v>
      </c>
      <c r="C37">
        <v>0.65</v>
      </c>
    </row>
    <row r="38" spans="2:9" x14ac:dyDescent="0.25">
      <c r="B38" t="s">
        <v>17</v>
      </c>
      <c r="C38">
        <f>1.3+0.001*C12</f>
        <v>1.34</v>
      </c>
    </row>
    <row r="40" spans="2:9" x14ac:dyDescent="0.25">
      <c r="B40" t="s">
        <v>23</v>
      </c>
      <c r="C40" s="7">
        <v>5</v>
      </c>
    </row>
    <row r="41" spans="2:9" x14ac:dyDescent="0.25">
      <c r="B41" t="s">
        <v>20</v>
      </c>
      <c r="C41" s="13">
        <v>25300</v>
      </c>
    </row>
    <row r="43" spans="2:9" x14ac:dyDescent="0.25">
      <c r="B43" t="s">
        <v>22</v>
      </c>
      <c r="C43" s="5">
        <f>(C37/C38)*MIN((C32*C33*C34*C35*35*C12^1.5),(C32*C34*C36*31.5*C12))</f>
        <v>4724.537220639625</v>
      </c>
    </row>
    <row r="44" spans="2:9" x14ac:dyDescent="0.25">
      <c r="B44" t="s">
        <v>25</v>
      </c>
      <c r="C44" s="5">
        <f>MIN(C40*C24*COS(RADIANS(45)),C41)</f>
        <v>13832.514239265127</v>
      </c>
      <c r="G44" t="s">
        <v>32</v>
      </c>
    </row>
    <row r="45" spans="2:9" x14ac:dyDescent="0.25">
      <c r="C45" s="5"/>
      <c r="F45" t="s">
        <v>33</v>
      </c>
      <c r="G45" s="1">
        <v>12</v>
      </c>
      <c r="H45" s="1">
        <v>16</v>
      </c>
      <c r="I45" s="1">
        <v>20</v>
      </c>
    </row>
    <row r="46" spans="2:9" x14ac:dyDescent="0.25">
      <c r="C46" s="5"/>
      <c r="F46">
        <v>3.6</v>
      </c>
      <c r="G46">
        <v>57560</v>
      </c>
      <c r="H46">
        <v>121600</v>
      </c>
      <c r="I46">
        <v>217200</v>
      </c>
    </row>
    <row r="47" spans="2:9" x14ac:dyDescent="0.25">
      <c r="B47" t="s">
        <v>38</v>
      </c>
      <c r="C47" s="6">
        <f>C40*(C22+C44/4)+C43</f>
        <v>35081.024031757144</v>
      </c>
      <c r="F47">
        <v>4.8</v>
      </c>
      <c r="G47">
        <v>76750</v>
      </c>
      <c r="H47">
        <v>162100</v>
      </c>
      <c r="I47">
        <v>289600</v>
      </c>
    </row>
    <row r="48" spans="2:9" x14ac:dyDescent="0.25">
      <c r="C48" s="5"/>
      <c r="F48">
        <v>5.6</v>
      </c>
      <c r="G48">
        <v>95930</v>
      </c>
      <c r="H48">
        <v>202700</v>
      </c>
      <c r="I48">
        <v>362100</v>
      </c>
    </row>
    <row r="49" spans="2:9" x14ac:dyDescent="0.25">
      <c r="B49" t="s">
        <v>26</v>
      </c>
      <c r="F49">
        <v>8.8000000000000007</v>
      </c>
      <c r="G49">
        <v>153500</v>
      </c>
      <c r="H49">
        <v>324300</v>
      </c>
      <c r="I49">
        <v>579300</v>
      </c>
    </row>
    <row r="51" spans="2:9" x14ac:dyDescent="0.25">
      <c r="B51" t="s">
        <v>29</v>
      </c>
      <c r="C51" s="12">
        <v>0</v>
      </c>
    </row>
    <row r="52" spans="2:9" x14ac:dyDescent="0.25">
      <c r="B52" t="s">
        <v>28</v>
      </c>
      <c r="C52" s="1">
        <f>IF(C12=30,12,IF(C12=40,16,20))</f>
        <v>16</v>
      </c>
    </row>
    <row r="53" spans="2:9" x14ac:dyDescent="0.25">
      <c r="B53" t="s">
        <v>27</v>
      </c>
      <c r="C53" s="4">
        <f>(0.082*C8*(1-0.01*C52))/((1.35+0.015*C52)*(COS(RADIANS(C51)))^2+(SIN(RADIANS(C51)))^2)</f>
        <v>16.678490566037734</v>
      </c>
    </row>
    <row r="54" spans="2:9" x14ac:dyDescent="0.25">
      <c r="B54" t="s">
        <v>31</v>
      </c>
      <c r="C54" s="14">
        <v>8.8000000000000007</v>
      </c>
    </row>
    <row r="55" spans="2:9" x14ac:dyDescent="0.25">
      <c r="B55" t="s">
        <v>30</v>
      </c>
      <c r="C55" s="2">
        <f>VLOOKUP(C54,F46:I49,IF(C52=12,2,IF(C52=16,3,4)),FALSE)</f>
        <v>324300</v>
      </c>
    </row>
    <row r="56" spans="2:9" x14ac:dyDescent="0.25">
      <c r="B56" t="s">
        <v>24</v>
      </c>
      <c r="C56" s="5">
        <f>C44</f>
        <v>13832.514239265127</v>
      </c>
    </row>
    <row r="57" spans="2:9" x14ac:dyDescent="0.25">
      <c r="B57" t="s">
        <v>35</v>
      </c>
      <c r="C57" s="9">
        <v>11</v>
      </c>
    </row>
    <row r="58" spans="2:9" x14ac:dyDescent="0.25">
      <c r="B58" t="s">
        <v>37</v>
      </c>
      <c r="C58" s="9">
        <v>10</v>
      </c>
    </row>
    <row r="59" spans="2:9" x14ac:dyDescent="0.25">
      <c r="B59" t="s">
        <v>49</v>
      </c>
      <c r="C59" s="9">
        <v>10</v>
      </c>
    </row>
    <row r="61" spans="2:9" x14ac:dyDescent="0.25">
      <c r="B61" t="s">
        <v>34</v>
      </c>
      <c r="C61" s="5">
        <f>C53*C52*(SQRT((C57^2)+(4*C55)/(C52*C53))-C57)+C56/4</f>
        <v>19358.373612460447</v>
      </c>
    </row>
    <row r="62" spans="2:9" x14ac:dyDescent="0.25">
      <c r="B62" t="s">
        <v>51</v>
      </c>
      <c r="C62" s="5">
        <f>C55/((C59/2)+C57)</f>
        <v>20268.75</v>
      </c>
    </row>
    <row r="64" spans="2:9" x14ac:dyDescent="0.25">
      <c r="B64" t="s">
        <v>36</v>
      </c>
      <c r="C64" s="5">
        <f>(1/C38)*MIN(C32*C33*C34*C35*35*C12^1.5,C32*C34*C58*31.5*C12)</f>
        <v>7268.5188009840376</v>
      </c>
    </row>
    <row r="66" spans="2:3" x14ac:dyDescent="0.25">
      <c r="B66" t="s">
        <v>39</v>
      </c>
      <c r="C66" s="6">
        <f>C61+C64</f>
        <v>26626.892413444486</v>
      </c>
    </row>
    <row r="67" spans="2:3" x14ac:dyDescent="0.25">
      <c r="B67" t="s">
        <v>50</v>
      </c>
      <c r="C67" s="6">
        <f>C62</f>
        <v>20268.75</v>
      </c>
    </row>
    <row r="69" spans="2:3" x14ac:dyDescent="0.25">
      <c r="B69" t="s">
        <v>40</v>
      </c>
    </row>
    <row r="71" spans="2:3" x14ac:dyDescent="0.25">
      <c r="B71" t="s">
        <v>41</v>
      </c>
      <c r="C71" s="9">
        <v>1000</v>
      </c>
    </row>
    <row r="72" spans="2:3" x14ac:dyDescent="0.25">
      <c r="B72" t="s">
        <v>42</v>
      </c>
      <c r="C72" s="9">
        <v>200</v>
      </c>
    </row>
    <row r="73" spans="2:3" x14ac:dyDescent="0.25">
      <c r="B73" t="s">
        <v>43</v>
      </c>
      <c r="C73" s="9">
        <v>100</v>
      </c>
    </row>
    <row r="75" spans="2:3" x14ac:dyDescent="0.25">
      <c r="B75" t="s">
        <v>44</v>
      </c>
      <c r="C75" s="6">
        <f>14*C71*SQRT(C73/(1-(C73/C72)))</f>
        <v>197989.89873223333</v>
      </c>
    </row>
  </sheetData>
  <mergeCells count="11">
    <mergeCell ref="B4:B5"/>
    <mergeCell ref="E10:F11"/>
    <mergeCell ref="G10:G11"/>
    <mergeCell ref="E4:F5"/>
    <mergeCell ref="G4:G5"/>
    <mergeCell ref="E12:F13"/>
    <mergeCell ref="G12:G13"/>
    <mergeCell ref="E7:F7"/>
    <mergeCell ref="E9:F9"/>
    <mergeCell ref="E6:F6"/>
    <mergeCell ref="E8:F8"/>
  </mergeCells>
  <phoneticPr fontId="1" type="noConversion"/>
  <dataValidations count="1">
    <dataValidation type="list" allowBlank="1" showInputMessage="1" showErrorMessage="1" sqref="C54" xr:uid="{116B2E3B-DB3F-4A25-BA64-8A047E3616ED}">
      <formula1>$F$46:$F$49</formula1>
    </dataValidation>
  </dataValidations>
  <pageMargins left="0.7" right="0.7" top="1.8888888888888888" bottom="0.78740157499999996" header="0.3" footer="0.3"/>
  <pageSetup paperSize="9" scale="50" orientation="portrait" horizontalDpi="1200" verticalDpi="1200" r:id="rId1"/>
  <headerFooter>
    <oddHeader>&amp;C&amp;G</oddHeader>
    <oddFooter>&amp;C&amp;G</oddFooter>
  </headerFooter>
  <colBreaks count="1" manualBreakCount="1">
    <brk id="12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Mst. Thomas Hutzinger (Holzbau-Meister)</dc:creator>
  <cp:lastModifiedBy>Mst. Thomas Hutzinger (Holzbau-Meister)</cp:lastModifiedBy>
  <cp:lastPrinted>2024-11-07T10:07:41Z</cp:lastPrinted>
  <dcterms:created xsi:type="dcterms:W3CDTF">2024-06-19T06:58:30Z</dcterms:created>
  <dcterms:modified xsi:type="dcterms:W3CDTF">2025-05-06T12:09:29Z</dcterms:modified>
</cp:coreProperties>
</file>